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35" windowWidth="13260" windowHeight="7500" tabRatio="640" activeTab="2"/>
  </bookViews>
  <sheets>
    <sheet name="TOC" sheetId="30" r:id="rId1"/>
    <sheet name="Wks Flowchart" sheetId="31" r:id="rId2"/>
    <sheet name="A1" sheetId="4" r:id="rId3"/>
    <sheet name="A2" sheetId="33" r:id="rId4"/>
    <sheet name="B1" sheetId="8" r:id="rId5"/>
    <sheet name="B2" sheetId="6" r:id="rId6"/>
    <sheet name="B3" sheetId="28" r:id="rId7"/>
    <sheet name="C1" sheetId="32" r:id="rId8"/>
    <sheet name="C2" sheetId="34" r:id="rId9"/>
    <sheet name="C3" sheetId="37" r:id="rId10"/>
    <sheet name="C4" sheetId="13" r:id="rId11"/>
    <sheet name="D1" sheetId="25" r:id="rId12"/>
    <sheet name="D2" sheetId="26" r:id="rId13"/>
    <sheet name="D3" sheetId="27" r:id="rId14"/>
    <sheet name="D4" sheetId="39" r:id="rId15"/>
    <sheet name="E1" sheetId="5" r:id="rId16"/>
    <sheet name="Pull-down list" sheetId="1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Electric">'Pull-down list'!$D$2:$D$3</definedName>
    <definedName name="Mrkt_Type">'Pull-down list'!$B$2:$B$18</definedName>
    <definedName name="Prg_Name">#REF!</definedName>
    <definedName name="Prg_Type">'Pull-down list'!$A$2:$A$29</definedName>
    <definedName name="_xlnm.Print_Area" localSheetId="10">'C4'!$A$1:$P$380</definedName>
    <definedName name="_xlnm.Print_Area" localSheetId="13">'D3'!$A$2:$H$38</definedName>
    <definedName name="_xlnm.Print_Titles" localSheetId="10">'C4'!$1:$5</definedName>
    <definedName name="Prog_Name">#REF!</definedName>
    <definedName name="Utility_Type">'Pull-down list'!$D$2:$D$3</definedName>
  </definedNames>
  <calcPr calcId="145621"/>
</workbook>
</file>

<file path=xl/calcChain.xml><?xml version="1.0" encoding="utf-8"?>
<calcChain xmlns="http://schemas.openxmlformats.org/spreadsheetml/2006/main">
  <c r="L14" i="5" l="1"/>
  <c r="L13" i="5"/>
  <c r="L12" i="5"/>
  <c r="L11" i="5"/>
  <c r="L10" i="5"/>
  <c r="I14" i="5"/>
  <c r="I13" i="5"/>
  <c r="I12" i="5"/>
  <c r="I11" i="5"/>
  <c r="I10" i="5"/>
  <c r="I9" i="5"/>
  <c r="F110" i="4" l="1"/>
  <c r="C168" i="4" l="1"/>
  <c r="C170" i="4"/>
  <c r="C138" i="4"/>
  <c r="C140" i="4"/>
  <c r="H48" i="4" l="1"/>
  <c r="C48" i="4" l="1"/>
  <c r="D147" i="4" l="1"/>
  <c r="D148" i="4"/>
  <c r="D178" i="4"/>
  <c r="D177" i="4"/>
  <c r="D268" i="4"/>
  <c r="D267" i="4"/>
  <c r="D87" i="4"/>
  <c r="D88" i="4"/>
  <c r="C197" i="4" l="1"/>
  <c r="F197" i="4"/>
  <c r="F77" i="4" l="1"/>
  <c r="C107" i="4" l="1"/>
  <c r="C77" i="4"/>
  <c r="F40" i="33"/>
  <c r="D40" i="33"/>
  <c r="G38" i="33" l="1"/>
  <c r="F38" i="33"/>
  <c r="E38" i="33"/>
  <c r="D38" i="33"/>
  <c r="G37" i="33"/>
  <c r="F37" i="33"/>
  <c r="E37" i="33"/>
  <c r="D37" i="33"/>
  <c r="G36" i="33"/>
  <c r="F36" i="33"/>
  <c r="E36" i="33"/>
  <c r="D36" i="33"/>
  <c r="G35" i="33"/>
  <c r="F35" i="33"/>
  <c r="E35" i="33"/>
  <c r="D35" i="33"/>
  <c r="D34" i="33"/>
  <c r="F34" i="33"/>
  <c r="G34" i="33"/>
  <c r="E34" i="33"/>
  <c r="G9" i="33"/>
  <c r="E9" i="33"/>
  <c r="F178" i="4"/>
  <c r="C178" i="4"/>
  <c r="F148" i="4"/>
  <c r="C148" i="4"/>
  <c r="C149" i="4"/>
  <c r="F149" i="4" s="1"/>
  <c r="C119" i="4"/>
  <c r="F119" i="4" s="1"/>
  <c r="C59" i="4"/>
  <c r="F59" i="4" s="1"/>
  <c r="C89" i="4"/>
  <c r="F89" i="4" s="1"/>
  <c r="C179" i="4"/>
  <c r="F179" i="4" s="1"/>
  <c r="D45" i="6" l="1"/>
  <c r="N25" i="6"/>
  <c r="N45" i="6" s="1"/>
  <c r="M25" i="6"/>
  <c r="M45" i="6" s="1"/>
  <c r="L25" i="6"/>
  <c r="L45" i="6" s="1"/>
  <c r="K25" i="6"/>
  <c r="K45" i="6" s="1"/>
  <c r="J25" i="6"/>
  <c r="J45" i="6" s="1"/>
  <c r="I25" i="6"/>
  <c r="I45" i="6" s="1"/>
  <c r="H25" i="6"/>
  <c r="H45" i="6" s="1"/>
  <c r="G25" i="6"/>
  <c r="G45" i="6" s="1"/>
  <c r="F25" i="6"/>
  <c r="F45" i="6" s="1"/>
  <c r="E25" i="6"/>
  <c r="E45" i="6" s="1"/>
  <c r="N10" i="6"/>
  <c r="M10" i="6"/>
  <c r="L10" i="6"/>
  <c r="K10" i="6"/>
  <c r="J10" i="6"/>
  <c r="I10" i="6"/>
  <c r="H10" i="6"/>
  <c r="G10" i="6"/>
  <c r="F10" i="6"/>
  <c r="E10" i="6"/>
  <c r="D10" i="6"/>
  <c r="N11" i="6"/>
  <c r="M11" i="6"/>
  <c r="L11" i="6"/>
  <c r="K11" i="6"/>
  <c r="J11" i="6"/>
  <c r="I11" i="6"/>
  <c r="H11" i="6"/>
  <c r="G11" i="6"/>
  <c r="G12" i="6"/>
  <c r="H12" i="6"/>
  <c r="F11" i="6"/>
  <c r="E11" i="6"/>
  <c r="D11" i="6"/>
  <c r="N13" i="6"/>
  <c r="M13" i="6"/>
  <c r="L13" i="6"/>
  <c r="K13" i="6"/>
  <c r="J13" i="6"/>
  <c r="I13" i="6"/>
  <c r="H13" i="6"/>
  <c r="G13" i="6"/>
  <c r="F13" i="6"/>
  <c r="E13" i="6"/>
  <c r="D13" i="6"/>
  <c r="N12" i="6"/>
  <c r="M12" i="6"/>
  <c r="L12" i="6"/>
  <c r="K12" i="6"/>
  <c r="J12" i="6"/>
  <c r="I12" i="6"/>
  <c r="F12" i="6"/>
  <c r="E12" i="6"/>
  <c r="D12" i="6"/>
  <c r="M15" i="6"/>
  <c r="K15" i="6"/>
  <c r="I15" i="6"/>
  <c r="G15" i="6"/>
  <c r="E15" i="6"/>
  <c r="D14" i="6"/>
  <c r="J14" i="6"/>
  <c r="I14" i="6"/>
  <c r="H14" i="6"/>
  <c r="G14" i="6"/>
  <c r="N14" i="6"/>
  <c r="M14" i="6"/>
  <c r="L14" i="6"/>
  <c r="K14" i="6"/>
  <c r="F14" i="6"/>
  <c r="E14" i="6"/>
  <c r="G9" i="39" l="1"/>
  <c r="E9" i="39" l="1"/>
  <c r="O10" i="8" l="1"/>
  <c r="L10" i="8"/>
  <c r="L47" i="25" l="1"/>
  <c r="J47" i="25"/>
  <c r="F9" i="39" s="1"/>
  <c r="H47" i="25"/>
  <c r="J24" i="25"/>
  <c r="H24" i="25"/>
  <c r="N36" i="6"/>
  <c r="L36" i="6"/>
  <c r="J36" i="6"/>
  <c r="H36" i="6"/>
  <c r="F36" i="6"/>
  <c r="D36" i="6"/>
  <c r="D35" i="6"/>
  <c r="D34" i="6"/>
  <c r="D33" i="6"/>
  <c r="D32" i="6"/>
  <c r="D31" i="6"/>
  <c r="M36" i="6"/>
  <c r="K36" i="6"/>
  <c r="I36" i="6"/>
  <c r="G36" i="6"/>
  <c r="E36" i="6"/>
  <c r="N35" i="6"/>
  <c r="M35" i="6"/>
  <c r="L35" i="6"/>
  <c r="K35" i="6"/>
  <c r="J35" i="6"/>
  <c r="I35" i="6"/>
  <c r="H35" i="6"/>
  <c r="G35" i="6"/>
  <c r="F35" i="6"/>
  <c r="E35" i="6"/>
  <c r="N34" i="6"/>
  <c r="M34" i="6"/>
  <c r="L34" i="6"/>
  <c r="K34" i="6"/>
  <c r="J34" i="6"/>
  <c r="I34" i="6"/>
  <c r="H34" i="6"/>
  <c r="G34" i="6"/>
  <c r="F34" i="6"/>
  <c r="E34" i="6"/>
  <c r="N33" i="6"/>
  <c r="M33" i="6"/>
  <c r="L33" i="6"/>
  <c r="K33" i="6"/>
  <c r="J33" i="6"/>
  <c r="I33" i="6"/>
  <c r="H33" i="6"/>
  <c r="G33" i="6"/>
  <c r="F33" i="6"/>
  <c r="E33" i="6"/>
  <c r="N32" i="6"/>
  <c r="M32" i="6"/>
  <c r="L32" i="6"/>
  <c r="K32" i="6"/>
  <c r="J32" i="6"/>
  <c r="I32" i="6"/>
  <c r="H32" i="6"/>
  <c r="G32" i="6"/>
  <c r="F32" i="6"/>
  <c r="E32" i="6"/>
  <c r="J31" i="6"/>
  <c r="I31" i="6"/>
  <c r="N31" i="6"/>
  <c r="M31" i="6"/>
  <c r="L31" i="6"/>
  <c r="K31" i="6"/>
  <c r="H31" i="6"/>
  <c r="G31" i="6"/>
  <c r="F31" i="6"/>
  <c r="E31" i="6"/>
  <c r="F200" i="4" l="1"/>
  <c r="F170" i="4"/>
  <c r="F168" i="4"/>
  <c r="F167" i="4"/>
  <c r="F140" i="4"/>
  <c r="F138" i="4"/>
  <c r="F137" i="4"/>
  <c r="F80" i="4"/>
  <c r="F47" i="4"/>
  <c r="F50" i="4"/>
  <c r="N10" i="8" l="1"/>
  <c r="G10" i="8"/>
  <c r="N9" i="8"/>
  <c r="G9" i="8"/>
  <c r="N8" i="8"/>
  <c r="G8" i="8"/>
  <c r="K10" i="8"/>
  <c r="D10" i="8"/>
  <c r="K9" i="8" l="1"/>
  <c r="D9" i="8"/>
  <c r="K8" i="8" l="1"/>
  <c r="D8" i="8"/>
  <c r="J207" i="4" l="1"/>
  <c r="J208" i="4"/>
  <c r="J177" i="4"/>
  <c r="J178" i="4"/>
  <c r="J148" i="4"/>
  <c r="F196" i="4"/>
  <c r="F169" i="4"/>
  <c r="J117" i="4" l="1"/>
  <c r="C110" i="4"/>
  <c r="C118" i="4"/>
  <c r="F118" i="4" s="1"/>
  <c r="F117" i="4"/>
  <c r="C117" i="4"/>
  <c r="D117" i="4"/>
  <c r="J118" i="4"/>
  <c r="F87" i="4" l="1"/>
  <c r="C87" i="4"/>
  <c r="C88" i="4" l="1"/>
  <c r="F88" i="4" s="1"/>
  <c r="C80" i="4"/>
  <c r="J87" i="4"/>
  <c r="J27" i="4" s="1"/>
  <c r="J88" i="4"/>
  <c r="F57" i="4"/>
  <c r="C57" i="4"/>
  <c r="D57" i="4"/>
  <c r="C58" i="4"/>
  <c r="F58" i="4" s="1"/>
  <c r="J58" i="4"/>
  <c r="C50" i="4"/>
  <c r="J9" i="39"/>
  <c r="K9" i="39" s="1"/>
  <c r="J10" i="39"/>
  <c r="J11" i="39"/>
  <c r="K11" i="39" s="1"/>
  <c r="J12" i="39"/>
  <c r="J13" i="39"/>
  <c r="K13" i="39" s="1"/>
  <c r="J14" i="39"/>
  <c r="J8" i="39"/>
  <c r="J7" i="39"/>
  <c r="C17" i="30"/>
  <c r="I8" i="39"/>
  <c r="K8" i="39"/>
  <c r="M8" i="39"/>
  <c r="I9" i="39"/>
  <c r="M9" i="39"/>
  <c r="I10" i="39"/>
  <c r="K10" i="39"/>
  <c r="M10" i="39"/>
  <c r="I11" i="39"/>
  <c r="M11" i="39"/>
  <c r="I12" i="39"/>
  <c r="K12" i="39"/>
  <c r="M12" i="39"/>
  <c r="I13" i="39"/>
  <c r="M13" i="39"/>
  <c r="I14" i="39"/>
  <c r="K14" i="39"/>
  <c r="M14" i="39"/>
  <c r="D8" i="39"/>
  <c r="D9" i="39"/>
  <c r="D10" i="39"/>
  <c r="D11" i="39"/>
  <c r="D12" i="39"/>
  <c r="D13" i="39"/>
  <c r="D14" i="39"/>
  <c r="M7" i="39"/>
  <c r="K7" i="39"/>
  <c r="I7" i="39"/>
  <c r="D7" i="39"/>
  <c r="J11" i="37"/>
  <c r="E11" i="37"/>
  <c r="B8" i="39"/>
  <c r="B9" i="39" s="1"/>
  <c r="B10" i="39" s="1"/>
  <c r="B11" i="39" s="1"/>
  <c r="B12" i="39" s="1"/>
  <c r="B13" i="39" s="1"/>
  <c r="B14" i="39" s="1"/>
  <c r="B380" i="13"/>
  <c r="B355" i="13"/>
  <c r="B330" i="13"/>
  <c r="B305" i="13"/>
  <c r="B280" i="13"/>
  <c r="B255" i="13"/>
  <c r="B228" i="13"/>
  <c r="B203" i="13"/>
  <c r="B178" i="13"/>
  <c r="B153" i="13"/>
  <c r="B128" i="13"/>
  <c r="B103" i="13"/>
  <c r="B78" i="13"/>
  <c r="B53" i="13"/>
  <c r="B55" i="37"/>
  <c r="O56" i="37" s="1"/>
  <c r="S57" i="37" s="1"/>
  <c r="F10" i="32"/>
  <c r="F11" i="32"/>
  <c r="F12" i="32" s="1"/>
  <c r="F471" i="4"/>
  <c r="G471" i="4"/>
  <c r="H471" i="4"/>
  <c r="C471" i="4"/>
  <c r="D466" i="4" s="1"/>
  <c r="C52" i="33"/>
  <c r="A51" i="33" s="1"/>
  <c r="F10" i="13"/>
  <c r="J10" i="13" s="1"/>
  <c r="C32" i="33"/>
  <c r="A31" i="33" s="1"/>
  <c r="A27" i="4"/>
  <c r="A28" i="4"/>
  <c r="K10" i="13"/>
  <c r="K35" i="13" s="1"/>
  <c r="I10" i="13"/>
  <c r="I35" i="13" s="1"/>
  <c r="G10" i="13"/>
  <c r="G35" i="13" s="1"/>
  <c r="B35" i="33"/>
  <c r="B36" i="33" s="1"/>
  <c r="B55" i="33"/>
  <c r="B56" i="33" s="1"/>
  <c r="B57" i="33" s="1"/>
  <c r="B58" i="33" s="1"/>
  <c r="B59" i="33" s="1"/>
  <c r="K372" i="13"/>
  <c r="F367" i="13"/>
  <c r="K352" i="13"/>
  <c r="F347" i="13"/>
  <c r="G342" i="13"/>
  <c r="F337" i="13"/>
  <c r="G327" i="13"/>
  <c r="K322" i="13"/>
  <c r="F317" i="13"/>
  <c r="F312" i="13"/>
  <c r="I302" i="13"/>
  <c r="G302" i="13"/>
  <c r="K297" i="13"/>
  <c r="F292" i="13"/>
  <c r="F287" i="13"/>
  <c r="I277" i="13"/>
  <c r="G277" i="13"/>
  <c r="K272" i="13"/>
  <c r="F267" i="13"/>
  <c r="F262" i="13"/>
  <c r="I252" i="13"/>
  <c r="F252" i="13"/>
  <c r="I247" i="13"/>
  <c r="F247" i="13"/>
  <c r="I242" i="13"/>
  <c r="F242" i="13"/>
  <c r="I237" i="13"/>
  <c r="F237" i="13"/>
  <c r="I225" i="13"/>
  <c r="F225" i="13"/>
  <c r="I220" i="13"/>
  <c r="F220" i="13"/>
  <c r="I215" i="13"/>
  <c r="F215" i="13"/>
  <c r="I210" i="13"/>
  <c r="F210" i="13"/>
  <c r="I200" i="13"/>
  <c r="F200" i="13"/>
  <c r="I195" i="13"/>
  <c r="F195" i="13"/>
  <c r="I190" i="13"/>
  <c r="F190" i="13"/>
  <c r="I185" i="13"/>
  <c r="F185" i="13"/>
  <c r="I175" i="13"/>
  <c r="F175" i="13"/>
  <c r="I170" i="13"/>
  <c r="F170" i="13"/>
  <c r="I165" i="13"/>
  <c r="F165" i="13"/>
  <c r="I160" i="13"/>
  <c r="F160" i="13"/>
  <c r="I150" i="13"/>
  <c r="F150" i="13"/>
  <c r="I145" i="13"/>
  <c r="F145" i="13"/>
  <c r="I140" i="13"/>
  <c r="F140" i="13"/>
  <c r="I135" i="13"/>
  <c r="F135" i="13"/>
  <c r="I125" i="13"/>
  <c r="F125" i="13"/>
  <c r="I120" i="13"/>
  <c r="F120" i="13"/>
  <c r="I115" i="13"/>
  <c r="F115" i="13"/>
  <c r="I110" i="13"/>
  <c r="F110" i="13"/>
  <c r="I100" i="13"/>
  <c r="F100" i="13"/>
  <c r="I95" i="13"/>
  <c r="F95" i="13"/>
  <c r="I90" i="13"/>
  <c r="F90" i="13"/>
  <c r="I85" i="13"/>
  <c r="F85" i="13"/>
  <c r="I60" i="13"/>
  <c r="F60" i="13"/>
  <c r="I75" i="13"/>
  <c r="F75" i="13"/>
  <c r="I70" i="13"/>
  <c r="F70" i="13"/>
  <c r="I65" i="13"/>
  <c r="F65" i="13"/>
  <c r="I50" i="13"/>
  <c r="F50" i="13"/>
  <c r="I45" i="13"/>
  <c r="F45" i="13"/>
  <c r="I40" i="13"/>
  <c r="F40" i="13"/>
  <c r="Q51" i="4"/>
  <c r="Q81" i="4"/>
  <c r="B10" i="33"/>
  <c r="Q111" i="4"/>
  <c r="Q141" i="4"/>
  <c r="Q171" i="4"/>
  <c r="Q201" i="4"/>
  <c r="Q231" i="4"/>
  <c r="Q261" i="4"/>
  <c r="Q291" i="4"/>
  <c r="R286" i="4" s="1"/>
  <c r="Q321" i="4"/>
  <c r="Q351" i="4"/>
  <c r="R346" i="4" s="1"/>
  <c r="Q381" i="4"/>
  <c r="Q411" i="4"/>
  <c r="R406" i="4" s="1"/>
  <c r="Q441" i="4"/>
  <c r="Q471" i="4"/>
  <c r="R466" i="4" s="1"/>
  <c r="J24" i="33"/>
  <c r="S26" i="37" s="1"/>
  <c r="F51" i="4"/>
  <c r="G51" i="4"/>
  <c r="H51" i="4"/>
  <c r="F81" i="4"/>
  <c r="G81" i="4"/>
  <c r="H81" i="4"/>
  <c r="F111" i="4"/>
  <c r="G111" i="4"/>
  <c r="H111" i="4"/>
  <c r="I111" i="4" s="1"/>
  <c r="F141" i="4"/>
  <c r="G141" i="4"/>
  <c r="H141" i="4"/>
  <c r="F171" i="4"/>
  <c r="G171" i="4"/>
  <c r="H171" i="4"/>
  <c r="F201" i="4"/>
  <c r="G201" i="4"/>
  <c r="H201" i="4"/>
  <c r="F231" i="4"/>
  <c r="G231" i="4"/>
  <c r="H231" i="4"/>
  <c r="F261" i="4"/>
  <c r="G261" i="4"/>
  <c r="H261" i="4"/>
  <c r="F291" i="4"/>
  <c r="G291" i="4"/>
  <c r="H291" i="4"/>
  <c r="F321" i="4"/>
  <c r="G321" i="4"/>
  <c r="H321" i="4"/>
  <c r="F351" i="4"/>
  <c r="G351" i="4"/>
  <c r="H351" i="4"/>
  <c r="F381" i="4"/>
  <c r="G381" i="4"/>
  <c r="H381" i="4"/>
  <c r="F411" i="4"/>
  <c r="G411" i="4"/>
  <c r="H411" i="4"/>
  <c r="F441" i="4"/>
  <c r="G441" i="4"/>
  <c r="H441" i="4"/>
  <c r="I19" i="4"/>
  <c r="I24" i="33" s="1"/>
  <c r="B78" i="33"/>
  <c r="B79" i="33" s="1"/>
  <c r="B18" i="13"/>
  <c r="B13" i="13" s="1"/>
  <c r="C441" i="4"/>
  <c r="B345" i="13"/>
  <c r="M345" i="13" s="1"/>
  <c r="C411" i="4"/>
  <c r="B320" i="13"/>
  <c r="M320" i="13" s="1"/>
  <c r="C381" i="4"/>
  <c r="B295" i="13"/>
  <c r="M295" i="13" s="1"/>
  <c r="C351" i="4"/>
  <c r="B270" i="13"/>
  <c r="M270" i="13" s="1"/>
  <c r="C321" i="4"/>
  <c r="B245" i="13"/>
  <c r="M245" i="13" s="1"/>
  <c r="C291" i="4"/>
  <c r="C261" i="4"/>
  <c r="D257" i="4" s="1"/>
  <c r="C231" i="4"/>
  <c r="C201" i="4"/>
  <c r="D196" i="4" s="1"/>
  <c r="C171" i="4"/>
  <c r="D167" i="4" s="1"/>
  <c r="C141" i="4"/>
  <c r="D136" i="4" s="1"/>
  <c r="C111" i="4"/>
  <c r="D107" i="4" s="1"/>
  <c r="H24" i="33"/>
  <c r="E24" i="5" s="1"/>
  <c r="N24" i="5" s="1"/>
  <c r="C51" i="4"/>
  <c r="D47" i="4" s="1"/>
  <c r="A24" i="33"/>
  <c r="B24" i="5" s="1"/>
  <c r="B33" i="37"/>
  <c r="O34" i="37" s="1"/>
  <c r="S35" i="37" s="1"/>
  <c r="S72" i="37"/>
  <c r="N7" i="37"/>
  <c r="N54" i="37" s="1"/>
  <c r="S54" i="37" s="1"/>
  <c r="B1" i="37"/>
  <c r="B2" i="37"/>
  <c r="F11" i="37"/>
  <c r="K11" i="37"/>
  <c r="L11" i="37" s="1"/>
  <c r="E12" i="37"/>
  <c r="F12" i="37"/>
  <c r="J12" i="37"/>
  <c r="I12" i="37" s="1"/>
  <c r="K12" i="37"/>
  <c r="E13" i="37"/>
  <c r="F13" i="37"/>
  <c r="J13" i="37"/>
  <c r="K13" i="37"/>
  <c r="E14" i="37"/>
  <c r="F14" i="37"/>
  <c r="J14" i="37"/>
  <c r="I14" i="37" s="1"/>
  <c r="K14" i="37"/>
  <c r="E15" i="37"/>
  <c r="F15" i="37"/>
  <c r="J15" i="37"/>
  <c r="I15" i="37" s="1"/>
  <c r="K15" i="37"/>
  <c r="E16" i="37"/>
  <c r="F16" i="37"/>
  <c r="J16" i="37"/>
  <c r="I16" i="37" s="1"/>
  <c r="K16" i="37"/>
  <c r="E17" i="37"/>
  <c r="D17" i="37" s="1"/>
  <c r="F17" i="37"/>
  <c r="J17" i="37"/>
  <c r="I17" i="37" s="1"/>
  <c r="K17" i="37"/>
  <c r="E18" i="37"/>
  <c r="D18" i="37" s="1"/>
  <c r="F18" i="37"/>
  <c r="J18" i="37"/>
  <c r="I18" i="37" s="1"/>
  <c r="K18" i="37"/>
  <c r="E19" i="37"/>
  <c r="D19" i="37" s="1"/>
  <c r="F19" i="37"/>
  <c r="J19" i="37"/>
  <c r="I19" i="37" s="1"/>
  <c r="K19" i="37"/>
  <c r="E20" i="37"/>
  <c r="D20" i="37" s="1"/>
  <c r="F20" i="37"/>
  <c r="J20" i="37"/>
  <c r="I20" i="37" s="1"/>
  <c r="K20" i="37"/>
  <c r="E21" i="37"/>
  <c r="D21" i="37" s="1"/>
  <c r="F21" i="37"/>
  <c r="J21" i="37"/>
  <c r="I21" i="37" s="1"/>
  <c r="K21" i="37"/>
  <c r="E22" i="37"/>
  <c r="D22" i="37" s="1"/>
  <c r="F22" i="37"/>
  <c r="J22" i="37"/>
  <c r="K22" i="37"/>
  <c r="E23" i="37"/>
  <c r="D23" i="37" s="1"/>
  <c r="F23" i="37"/>
  <c r="J23" i="37"/>
  <c r="I23" i="37" s="1"/>
  <c r="K23" i="37"/>
  <c r="E24" i="37"/>
  <c r="D24" i="37" s="1"/>
  <c r="F24" i="37"/>
  <c r="J24" i="37"/>
  <c r="I24" i="37" s="1"/>
  <c r="K24" i="37"/>
  <c r="E25" i="37"/>
  <c r="D25" i="37" s="1"/>
  <c r="F25" i="37"/>
  <c r="J25" i="37"/>
  <c r="I25" i="37" s="1"/>
  <c r="K25" i="37"/>
  <c r="B26" i="37"/>
  <c r="E26" i="37"/>
  <c r="D26" i="37" s="1"/>
  <c r="F26" i="37"/>
  <c r="J26" i="37"/>
  <c r="I26" i="37" s="1"/>
  <c r="K26" i="37"/>
  <c r="C25" i="33"/>
  <c r="J34" i="37"/>
  <c r="E36" i="37"/>
  <c r="D36" i="37" s="1"/>
  <c r="F36" i="37"/>
  <c r="J36" i="37"/>
  <c r="K36" i="37"/>
  <c r="L36" i="37" s="1"/>
  <c r="E37" i="37"/>
  <c r="D37" i="37" s="1"/>
  <c r="F37" i="37"/>
  <c r="G37" i="37" s="1"/>
  <c r="J37" i="37"/>
  <c r="I37" i="37" s="1"/>
  <c r="K37" i="37"/>
  <c r="E38" i="37"/>
  <c r="D38" i="37" s="1"/>
  <c r="F38" i="37"/>
  <c r="G38" i="37" s="1"/>
  <c r="J38" i="37"/>
  <c r="I38" i="37" s="1"/>
  <c r="K38" i="37"/>
  <c r="E39" i="37"/>
  <c r="D39" i="37" s="1"/>
  <c r="F39" i="37"/>
  <c r="G39" i="37" s="1"/>
  <c r="J39" i="37"/>
  <c r="I39" i="37" s="1"/>
  <c r="K39" i="37"/>
  <c r="E40" i="37"/>
  <c r="D40" i="37" s="1"/>
  <c r="F40" i="37"/>
  <c r="G40" i="37" s="1"/>
  <c r="J40" i="37"/>
  <c r="I40" i="37" s="1"/>
  <c r="K40" i="37"/>
  <c r="E41" i="37"/>
  <c r="D41" i="37" s="1"/>
  <c r="F41" i="37"/>
  <c r="G41" i="37" s="1"/>
  <c r="J41" i="37"/>
  <c r="I41" i="37" s="1"/>
  <c r="K41" i="37"/>
  <c r="E42" i="37"/>
  <c r="D42" i="37" s="1"/>
  <c r="F42" i="37"/>
  <c r="J42" i="37"/>
  <c r="K42" i="37"/>
  <c r="E43" i="37"/>
  <c r="D43" i="37" s="1"/>
  <c r="F43" i="37"/>
  <c r="J43" i="37"/>
  <c r="K43" i="37"/>
  <c r="E44" i="37"/>
  <c r="D44" i="37" s="1"/>
  <c r="F44" i="37"/>
  <c r="J44" i="37"/>
  <c r="K44" i="37"/>
  <c r="E45" i="37"/>
  <c r="D45" i="37" s="1"/>
  <c r="F45" i="37"/>
  <c r="J45" i="37"/>
  <c r="K45" i="37"/>
  <c r="E46" i="37"/>
  <c r="D46" i="37" s="1"/>
  <c r="F46" i="37"/>
  <c r="J46" i="37"/>
  <c r="K46" i="37"/>
  <c r="E47" i="37"/>
  <c r="D47" i="37" s="1"/>
  <c r="F47" i="37"/>
  <c r="J47" i="37"/>
  <c r="K47" i="37"/>
  <c r="E48" i="37"/>
  <c r="D48" i="37" s="1"/>
  <c r="F48" i="37"/>
  <c r="J48" i="37"/>
  <c r="K48" i="37"/>
  <c r="E49" i="37"/>
  <c r="D49" i="37" s="1"/>
  <c r="F49" i="37"/>
  <c r="J49" i="37"/>
  <c r="K49" i="37"/>
  <c r="E50" i="37"/>
  <c r="D50" i="37" s="1"/>
  <c r="F50" i="37"/>
  <c r="J50" i="37"/>
  <c r="K50" i="37"/>
  <c r="C49" i="33"/>
  <c r="J56" i="37"/>
  <c r="E58" i="37"/>
  <c r="D58" i="37" s="1"/>
  <c r="F58" i="37"/>
  <c r="J58" i="37"/>
  <c r="K58" i="37"/>
  <c r="E59" i="37"/>
  <c r="D59" i="37" s="1"/>
  <c r="F59" i="37"/>
  <c r="J59" i="37"/>
  <c r="K59" i="37"/>
  <c r="E60" i="37"/>
  <c r="D60" i="37" s="1"/>
  <c r="F60" i="37"/>
  <c r="J60" i="37"/>
  <c r="I60" i="37" s="1"/>
  <c r="K60" i="37"/>
  <c r="E61" i="37"/>
  <c r="D61" i="37" s="1"/>
  <c r="F61" i="37"/>
  <c r="J61" i="37"/>
  <c r="K61" i="37"/>
  <c r="E62" i="37"/>
  <c r="D62" i="37" s="1"/>
  <c r="F62" i="37"/>
  <c r="J62" i="37"/>
  <c r="I62" i="37" s="1"/>
  <c r="K62" i="37"/>
  <c r="E63" i="37"/>
  <c r="D63" i="37" s="1"/>
  <c r="F63" i="37"/>
  <c r="J63" i="37"/>
  <c r="K63" i="37"/>
  <c r="E64" i="37"/>
  <c r="D64" i="37" s="1"/>
  <c r="F64" i="37"/>
  <c r="J64" i="37"/>
  <c r="I64" i="37" s="1"/>
  <c r="K64" i="37"/>
  <c r="E65" i="37"/>
  <c r="D65" i="37" s="1"/>
  <c r="F65" i="37"/>
  <c r="J65" i="37"/>
  <c r="I65" i="37" s="1"/>
  <c r="K65" i="37"/>
  <c r="E66" i="37"/>
  <c r="D66" i="37" s="1"/>
  <c r="F66" i="37"/>
  <c r="J66" i="37"/>
  <c r="I66" i="37" s="1"/>
  <c r="K66" i="37"/>
  <c r="E67" i="37"/>
  <c r="D67" i="37" s="1"/>
  <c r="F67" i="37"/>
  <c r="J67" i="37"/>
  <c r="I67" i="37" s="1"/>
  <c r="K67" i="37"/>
  <c r="E68" i="37"/>
  <c r="D68" i="37" s="1"/>
  <c r="F68" i="37"/>
  <c r="J68" i="37"/>
  <c r="I68" i="37" s="1"/>
  <c r="K68" i="37"/>
  <c r="E69" i="37"/>
  <c r="D69" i="37" s="1"/>
  <c r="F69" i="37"/>
  <c r="J69" i="37"/>
  <c r="I69" i="37" s="1"/>
  <c r="K69" i="37"/>
  <c r="E70" i="37"/>
  <c r="D70" i="37" s="1"/>
  <c r="F70" i="37"/>
  <c r="J70" i="37"/>
  <c r="I70" i="37" s="1"/>
  <c r="K70" i="37"/>
  <c r="E71" i="37"/>
  <c r="D71" i="37" s="1"/>
  <c r="F71" i="37"/>
  <c r="J71" i="37"/>
  <c r="I71" i="37" s="1"/>
  <c r="K71" i="37"/>
  <c r="E72" i="37"/>
  <c r="D72" i="37" s="1"/>
  <c r="F72" i="37"/>
  <c r="J72" i="37"/>
  <c r="I72" i="37" s="1"/>
  <c r="K72" i="37"/>
  <c r="C69" i="33"/>
  <c r="I25" i="5"/>
  <c r="D10" i="5"/>
  <c r="D11" i="5" s="1"/>
  <c r="D12" i="5" s="1"/>
  <c r="D13" i="5" s="1"/>
  <c r="D14" i="5" s="1"/>
  <c r="D15" i="5" s="1"/>
  <c r="D16" i="5" s="1"/>
  <c r="D17" i="5" s="1"/>
  <c r="D18" i="5" s="1"/>
  <c r="D19" i="5" s="1"/>
  <c r="D20" i="5" s="1"/>
  <c r="D21" i="5" s="1"/>
  <c r="D22" i="5" s="1"/>
  <c r="D23" i="5" s="1"/>
  <c r="D24" i="5" s="1"/>
  <c r="G25" i="33"/>
  <c r="H9" i="8" s="1"/>
  <c r="F25" i="33"/>
  <c r="E9" i="8" s="1"/>
  <c r="E25" i="33"/>
  <c r="H8" i="8" s="1"/>
  <c r="D25" i="33"/>
  <c r="E8" i="8" s="1"/>
  <c r="H6" i="33"/>
  <c r="J6" i="33" s="1"/>
  <c r="H24" i="32"/>
  <c r="G24" i="32"/>
  <c r="B24" i="32"/>
  <c r="D30" i="6"/>
  <c r="D9" i="6"/>
  <c r="F15" i="4"/>
  <c r="F16" i="4"/>
  <c r="F17" i="4"/>
  <c r="F18" i="4"/>
  <c r="F20" i="4"/>
  <c r="G15" i="4"/>
  <c r="G16" i="4"/>
  <c r="G17" i="4"/>
  <c r="G18" i="4"/>
  <c r="G20" i="4"/>
  <c r="H15" i="4"/>
  <c r="H16" i="4"/>
  <c r="H17" i="4"/>
  <c r="H18" i="4"/>
  <c r="H20" i="4"/>
  <c r="I346" i="4"/>
  <c r="I347" i="4"/>
  <c r="I348" i="4"/>
  <c r="I349" i="4"/>
  <c r="I350" i="4"/>
  <c r="I376" i="4"/>
  <c r="I377" i="4"/>
  <c r="I378" i="4"/>
  <c r="I379" i="4"/>
  <c r="I380" i="4"/>
  <c r="I406" i="4"/>
  <c r="I407" i="4"/>
  <c r="I408" i="4"/>
  <c r="I409" i="4"/>
  <c r="I410" i="4"/>
  <c r="I436" i="4"/>
  <c r="I437" i="4"/>
  <c r="I438" i="4"/>
  <c r="I439" i="4"/>
  <c r="I440" i="4"/>
  <c r="I466" i="4"/>
  <c r="I467" i="4"/>
  <c r="I468" i="4"/>
  <c r="I469" i="4"/>
  <c r="I470" i="4"/>
  <c r="K15" i="13"/>
  <c r="I15" i="13"/>
  <c r="G15" i="13"/>
  <c r="K20" i="13"/>
  <c r="I20" i="13"/>
  <c r="G20" i="13"/>
  <c r="K25" i="13"/>
  <c r="I25" i="13"/>
  <c r="G25" i="13"/>
  <c r="N6" i="8"/>
  <c r="K6" i="8"/>
  <c r="I316" i="4"/>
  <c r="I317" i="4"/>
  <c r="I318" i="4"/>
  <c r="I319" i="4"/>
  <c r="I320" i="4"/>
  <c r="I286" i="4"/>
  <c r="I287" i="4"/>
  <c r="I288" i="4"/>
  <c r="I289" i="4"/>
  <c r="I290" i="4"/>
  <c r="I257" i="4"/>
  <c r="O257" i="4" s="1"/>
  <c r="I258" i="4"/>
  <c r="O258" i="4" s="1"/>
  <c r="I259" i="4"/>
  <c r="O259" i="4" s="1"/>
  <c r="I260" i="4"/>
  <c r="I228" i="4"/>
  <c r="I229" i="4"/>
  <c r="I230" i="4"/>
  <c r="I199" i="4"/>
  <c r="I200" i="4"/>
  <c r="O200" i="4" s="1"/>
  <c r="I170" i="4"/>
  <c r="I140" i="4"/>
  <c r="O140" i="4" s="1"/>
  <c r="I38" i="28"/>
  <c r="F38" i="28"/>
  <c r="D38" i="28"/>
  <c r="E38" i="28"/>
  <c r="G38" i="28" s="1"/>
  <c r="J28" i="4"/>
  <c r="J29" i="4"/>
  <c r="F27" i="4"/>
  <c r="C27" i="4"/>
  <c r="Q16" i="4"/>
  <c r="Q17" i="4"/>
  <c r="Q18" i="4"/>
  <c r="Q20" i="4"/>
  <c r="Q15" i="4"/>
  <c r="C16" i="4"/>
  <c r="M16" i="4" s="1"/>
  <c r="C18" i="4"/>
  <c r="C15" i="4"/>
  <c r="E7" i="34" s="1"/>
  <c r="A478" i="4"/>
  <c r="A477" i="4"/>
  <c r="R467" i="4"/>
  <c r="R469" i="4"/>
  <c r="N471" i="4"/>
  <c r="L471" i="4"/>
  <c r="D467" i="4"/>
  <c r="D469" i="4"/>
  <c r="O470" i="4"/>
  <c r="N470" i="4"/>
  <c r="M470" i="4"/>
  <c r="L470" i="4"/>
  <c r="O469" i="4"/>
  <c r="N469" i="4"/>
  <c r="M469" i="4"/>
  <c r="L469" i="4"/>
  <c r="O468" i="4"/>
  <c r="N468" i="4"/>
  <c r="M468" i="4"/>
  <c r="L468" i="4"/>
  <c r="O467" i="4"/>
  <c r="N467" i="4"/>
  <c r="M467" i="4"/>
  <c r="L467" i="4"/>
  <c r="O466" i="4"/>
  <c r="N466" i="4"/>
  <c r="M466" i="4"/>
  <c r="L466" i="4"/>
  <c r="A453" i="4"/>
  <c r="A448" i="4"/>
  <c r="A447" i="4"/>
  <c r="R436" i="4"/>
  <c r="R437" i="4"/>
  <c r="R438" i="4"/>
  <c r="R439" i="4"/>
  <c r="R440" i="4"/>
  <c r="N441" i="4"/>
  <c r="L441" i="4"/>
  <c r="D436" i="4"/>
  <c r="D437" i="4"/>
  <c r="D438" i="4"/>
  <c r="D439" i="4"/>
  <c r="D440" i="4"/>
  <c r="O440" i="4"/>
  <c r="N440" i="4"/>
  <c r="M440" i="4"/>
  <c r="L440" i="4"/>
  <c r="O439" i="4"/>
  <c r="N439" i="4"/>
  <c r="M439" i="4"/>
  <c r="L439" i="4"/>
  <c r="O438" i="4"/>
  <c r="N438" i="4"/>
  <c r="M438" i="4"/>
  <c r="L438" i="4"/>
  <c r="O437" i="4"/>
  <c r="N437" i="4"/>
  <c r="M437" i="4"/>
  <c r="L437" i="4"/>
  <c r="O436" i="4"/>
  <c r="N436" i="4"/>
  <c r="M436" i="4"/>
  <c r="L436" i="4"/>
  <c r="A423" i="4"/>
  <c r="A418" i="4"/>
  <c r="A417" i="4"/>
  <c r="R407" i="4"/>
  <c r="R409" i="4"/>
  <c r="N411" i="4"/>
  <c r="M411" i="4"/>
  <c r="L411" i="4"/>
  <c r="D406" i="4"/>
  <c r="D407" i="4"/>
  <c r="D408" i="4"/>
  <c r="D409" i="4"/>
  <c r="D410" i="4"/>
  <c r="O410" i="4"/>
  <c r="N410" i="4"/>
  <c r="M410" i="4"/>
  <c r="L410" i="4"/>
  <c r="O409" i="4"/>
  <c r="N409" i="4"/>
  <c r="M409" i="4"/>
  <c r="L409" i="4"/>
  <c r="O408" i="4"/>
  <c r="N408" i="4"/>
  <c r="M408" i="4"/>
  <c r="L408" i="4"/>
  <c r="O407" i="4"/>
  <c r="N407" i="4"/>
  <c r="M407" i="4"/>
  <c r="L407" i="4"/>
  <c r="O406" i="4"/>
  <c r="N406" i="4"/>
  <c r="M406" i="4"/>
  <c r="L406" i="4"/>
  <c r="A393" i="4"/>
  <c r="A388" i="4"/>
  <c r="A387" i="4"/>
  <c r="R376" i="4"/>
  <c r="R377" i="4"/>
  <c r="R378" i="4"/>
  <c r="R379" i="4"/>
  <c r="R380" i="4"/>
  <c r="N381" i="4"/>
  <c r="L381" i="4"/>
  <c r="D376" i="4"/>
  <c r="D377" i="4"/>
  <c r="D378" i="4"/>
  <c r="D379" i="4"/>
  <c r="D380" i="4"/>
  <c r="O380" i="4"/>
  <c r="N380" i="4"/>
  <c r="M380" i="4"/>
  <c r="L380" i="4"/>
  <c r="O379" i="4"/>
  <c r="N379" i="4"/>
  <c r="M379" i="4"/>
  <c r="L379" i="4"/>
  <c r="O378" i="4"/>
  <c r="N378" i="4"/>
  <c r="M378" i="4"/>
  <c r="L378" i="4"/>
  <c r="O377" i="4"/>
  <c r="N377" i="4"/>
  <c r="M377" i="4"/>
  <c r="L377" i="4"/>
  <c r="O376" i="4"/>
  <c r="N376" i="4"/>
  <c r="M376" i="4"/>
  <c r="L376" i="4"/>
  <c r="A363" i="4"/>
  <c r="A358" i="4"/>
  <c r="A357" i="4"/>
  <c r="R347" i="4"/>
  <c r="R349" i="4"/>
  <c r="N351" i="4"/>
  <c r="M351" i="4"/>
  <c r="L351" i="4"/>
  <c r="D346" i="4"/>
  <c r="D347" i="4"/>
  <c r="D348" i="4"/>
  <c r="D349" i="4"/>
  <c r="D350" i="4"/>
  <c r="O350" i="4"/>
  <c r="N350" i="4"/>
  <c r="M350" i="4"/>
  <c r="L350" i="4"/>
  <c r="O349" i="4"/>
  <c r="N349" i="4"/>
  <c r="M349" i="4"/>
  <c r="L349" i="4"/>
  <c r="O348" i="4"/>
  <c r="N348" i="4"/>
  <c r="M348" i="4"/>
  <c r="L348" i="4"/>
  <c r="O347" i="4"/>
  <c r="N347" i="4"/>
  <c r="M347" i="4"/>
  <c r="L347" i="4"/>
  <c r="O346" i="4"/>
  <c r="N346" i="4"/>
  <c r="M346" i="4"/>
  <c r="L346" i="4"/>
  <c r="A333" i="4"/>
  <c r="A328" i="4"/>
  <c r="A327" i="4"/>
  <c r="R316" i="4"/>
  <c r="R317" i="4"/>
  <c r="R318" i="4"/>
  <c r="R319" i="4"/>
  <c r="R320" i="4"/>
  <c r="N321" i="4"/>
  <c r="L321" i="4"/>
  <c r="D316" i="4"/>
  <c r="D317" i="4"/>
  <c r="D318" i="4"/>
  <c r="D319" i="4"/>
  <c r="D320" i="4"/>
  <c r="O320" i="4"/>
  <c r="N320" i="4"/>
  <c r="M320" i="4"/>
  <c r="L320" i="4"/>
  <c r="O319" i="4"/>
  <c r="N319" i="4"/>
  <c r="M319" i="4"/>
  <c r="L319" i="4"/>
  <c r="O318" i="4"/>
  <c r="N318" i="4"/>
  <c r="M318" i="4"/>
  <c r="L318" i="4"/>
  <c r="O317" i="4"/>
  <c r="N317" i="4"/>
  <c r="M317" i="4"/>
  <c r="L317" i="4"/>
  <c r="O316" i="4"/>
  <c r="N316" i="4"/>
  <c r="M316" i="4"/>
  <c r="L316" i="4"/>
  <c r="A303" i="4"/>
  <c r="A298" i="4"/>
  <c r="A297" i="4"/>
  <c r="R287" i="4"/>
  <c r="R289" i="4"/>
  <c r="N291" i="4"/>
  <c r="M291" i="4"/>
  <c r="L291" i="4"/>
  <c r="D286" i="4"/>
  <c r="D287" i="4"/>
  <c r="D288" i="4"/>
  <c r="D289" i="4"/>
  <c r="D290" i="4"/>
  <c r="O290" i="4"/>
  <c r="N290" i="4"/>
  <c r="M290" i="4"/>
  <c r="L290" i="4"/>
  <c r="O289" i="4"/>
  <c r="N289" i="4"/>
  <c r="M289" i="4"/>
  <c r="L289" i="4"/>
  <c r="O288" i="4"/>
  <c r="N288" i="4"/>
  <c r="M288" i="4"/>
  <c r="L288" i="4"/>
  <c r="O287" i="4"/>
  <c r="N287" i="4"/>
  <c r="M287" i="4"/>
  <c r="L287" i="4"/>
  <c r="O286" i="4"/>
  <c r="N286" i="4"/>
  <c r="M286" i="4"/>
  <c r="L286" i="4"/>
  <c r="A273" i="4"/>
  <c r="A268" i="4"/>
  <c r="A267" i="4"/>
  <c r="R256" i="4"/>
  <c r="R257" i="4"/>
  <c r="R258" i="4"/>
  <c r="R259" i="4"/>
  <c r="R260" i="4"/>
  <c r="N261" i="4"/>
  <c r="L261" i="4"/>
  <c r="I256" i="4"/>
  <c r="D256" i="4"/>
  <c r="D258" i="4"/>
  <c r="D260" i="4"/>
  <c r="O260" i="4"/>
  <c r="N260" i="4"/>
  <c r="M260" i="4"/>
  <c r="L260" i="4"/>
  <c r="N259" i="4"/>
  <c r="M259" i="4"/>
  <c r="L259" i="4"/>
  <c r="N258" i="4"/>
  <c r="M258" i="4"/>
  <c r="L258" i="4"/>
  <c r="N257" i="4"/>
  <c r="M257" i="4"/>
  <c r="L257" i="4"/>
  <c r="N256" i="4"/>
  <c r="M256" i="4"/>
  <c r="L256" i="4"/>
  <c r="A243" i="4"/>
  <c r="A238" i="4"/>
  <c r="A237" i="4"/>
  <c r="A208" i="4"/>
  <c r="A207" i="4"/>
  <c r="A178" i="4"/>
  <c r="A177" i="4"/>
  <c r="A148" i="4"/>
  <c r="A147" i="4"/>
  <c r="A118" i="4"/>
  <c r="A117" i="4"/>
  <c r="A88" i="4"/>
  <c r="A87" i="4"/>
  <c r="A58" i="4"/>
  <c r="A57" i="4"/>
  <c r="D4" i="34"/>
  <c r="F11" i="34"/>
  <c r="I20" i="4"/>
  <c r="F12" i="34" s="1"/>
  <c r="E10" i="34"/>
  <c r="E11" i="34"/>
  <c r="B9" i="34"/>
  <c r="B10" i="34"/>
  <c r="B11" i="34"/>
  <c r="B12" i="34"/>
  <c r="B8" i="34"/>
  <c r="B7" i="34"/>
  <c r="I46" i="4"/>
  <c r="O46" i="4" s="1"/>
  <c r="L46" i="4"/>
  <c r="I48" i="4"/>
  <c r="O48" i="4" s="1"/>
  <c r="I47" i="4"/>
  <c r="O47" i="4" s="1"/>
  <c r="I75" i="33"/>
  <c r="F75" i="33" s="1"/>
  <c r="C75" i="33" s="1"/>
  <c r="H31" i="33"/>
  <c r="D49" i="33"/>
  <c r="E49" i="33"/>
  <c r="O8" i="8" s="1"/>
  <c r="F49" i="33"/>
  <c r="L9" i="8" s="1"/>
  <c r="G49" i="33"/>
  <c r="O9" i="8" s="1"/>
  <c r="P9" i="8" s="1"/>
  <c r="D69" i="33"/>
  <c r="E69" i="33"/>
  <c r="F69" i="33"/>
  <c r="G69" i="33"/>
  <c r="C92" i="33"/>
  <c r="D92" i="33"/>
  <c r="E92" i="33"/>
  <c r="F92" i="33"/>
  <c r="G92" i="33"/>
  <c r="H92" i="33"/>
  <c r="I226" i="4"/>
  <c r="I227" i="4"/>
  <c r="I196" i="4"/>
  <c r="O196" i="4" s="1"/>
  <c r="I197" i="4"/>
  <c r="O197" i="4" s="1"/>
  <c r="I198" i="4"/>
  <c r="O198" i="4" s="1"/>
  <c r="I166" i="4"/>
  <c r="I167" i="4"/>
  <c r="I168" i="4"/>
  <c r="I169" i="4"/>
  <c r="O169" i="4" s="1"/>
  <c r="I136" i="4"/>
  <c r="I137" i="4"/>
  <c r="O137" i="4" s="1"/>
  <c r="I138" i="4"/>
  <c r="I139" i="4"/>
  <c r="O139" i="4" s="1"/>
  <c r="I106" i="4"/>
  <c r="I107" i="4"/>
  <c r="I108" i="4"/>
  <c r="I109" i="4"/>
  <c r="I76" i="4"/>
  <c r="O76" i="4" s="1"/>
  <c r="I77" i="4"/>
  <c r="O77" i="4" s="1"/>
  <c r="I78" i="4"/>
  <c r="I79" i="4"/>
  <c r="I80" i="4"/>
  <c r="I49" i="4"/>
  <c r="I50" i="4"/>
  <c r="O50" i="4" s="1"/>
  <c r="D226" i="4"/>
  <c r="D227" i="4"/>
  <c r="D228" i="4"/>
  <c r="D229" i="4"/>
  <c r="D230" i="4"/>
  <c r="D199" i="4"/>
  <c r="D166" i="4"/>
  <c r="D168" i="4"/>
  <c r="D170" i="4"/>
  <c r="D137" i="4"/>
  <c r="D106" i="4"/>
  <c r="D108" i="4"/>
  <c r="D110" i="4"/>
  <c r="D46" i="4"/>
  <c r="D48" i="4"/>
  <c r="D50" i="4"/>
  <c r="R226" i="4"/>
  <c r="R227" i="4"/>
  <c r="R228" i="4"/>
  <c r="R229" i="4"/>
  <c r="R230" i="4"/>
  <c r="R196" i="4"/>
  <c r="R197" i="4"/>
  <c r="R198" i="4"/>
  <c r="R199" i="4"/>
  <c r="R200" i="4"/>
  <c r="R166" i="4"/>
  <c r="R167" i="4"/>
  <c r="R168" i="4"/>
  <c r="R169" i="4"/>
  <c r="R170" i="4"/>
  <c r="R136" i="4"/>
  <c r="R137" i="4"/>
  <c r="R138" i="4"/>
  <c r="R139" i="4"/>
  <c r="R140" i="4"/>
  <c r="R106" i="4"/>
  <c r="R107" i="4"/>
  <c r="R108" i="4"/>
  <c r="R109" i="4"/>
  <c r="R110" i="4"/>
  <c r="R76" i="4"/>
  <c r="R77" i="4"/>
  <c r="R78" i="4"/>
  <c r="R79" i="4"/>
  <c r="R80" i="4"/>
  <c r="R46" i="4"/>
  <c r="R47" i="4"/>
  <c r="R48" i="4"/>
  <c r="R49" i="4"/>
  <c r="R50" i="4"/>
  <c r="N231" i="4"/>
  <c r="M231" i="4"/>
  <c r="L231" i="4"/>
  <c r="O230" i="4"/>
  <c r="N230" i="4"/>
  <c r="M230" i="4"/>
  <c r="L230" i="4"/>
  <c r="O229" i="4"/>
  <c r="N229" i="4"/>
  <c r="M229" i="4"/>
  <c r="L229" i="4"/>
  <c r="O228" i="4"/>
  <c r="N228" i="4"/>
  <c r="M228" i="4"/>
  <c r="L228" i="4"/>
  <c r="O227" i="4"/>
  <c r="N227" i="4"/>
  <c r="M227" i="4"/>
  <c r="L227" i="4"/>
  <c r="O226" i="4"/>
  <c r="N226" i="4"/>
  <c r="M226" i="4"/>
  <c r="L226" i="4"/>
  <c r="M201" i="4"/>
  <c r="N200" i="4"/>
  <c r="M200" i="4"/>
  <c r="L200" i="4"/>
  <c r="O199" i="4"/>
  <c r="N199" i="4"/>
  <c r="M199" i="4"/>
  <c r="L199" i="4"/>
  <c r="N198" i="4"/>
  <c r="M198" i="4"/>
  <c r="L198" i="4"/>
  <c r="N197" i="4"/>
  <c r="M197" i="4"/>
  <c r="L197" i="4"/>
  <c r="N196" i="4"/>
  <c r="M196" i="4"/>
  <c r="L196" i="4"/>
  <c r="M171" i="4"/>
  <c r="O170" i="4"/>
  <c r="N170" i="4"/>
  <c r="M170" i="4"/>
  <c r="L170" i="4"/>
  <c r="N169" i="4"/>
  <c r="M169" i="4"/>
  <c r="L169" i="4"/>
  <c r="O168" i="4"/>
  <c r="N168" i="4"/>
  <c r="M168" i="4"/>
  <c r="L168" i="4"/>
  <c r="N167" i="4"/>
  <c r="M167" i="4"/>
  <c r="L167" i="4"/>
  <c r="O166" i="4"/>
  <c r="N166" i="4"/>
  <c r="M166" i="4"/>
  <c r="L166" i="4"/>
  <c r="M141" i="4"/>
  <c r="N140" i="4"/>
  <c r="M140" i="4"/>
  <c r="L140" i="4"/>
  <c r="N139" i="4"/>
  <c r="M139" i="4"/>
  <c r="L139" i="4"/>
  <c r="O138" i="4"/>
  <c r="N138" i="4"/>
  <c r="M138" i="4"/>
  <c r="L138" i="4"/>
  <c r="N137" i="4"/>
  <c r="M137" i="4"/>
  <c r="L137" i="4"/>
  <c r="O136" i="4"/>
  <c r="N136" i="4"/>
  <c r="M136" i="4"/>
  <c r="L136" i="4"/>
  <c r="N111" i="4"/>
  <c r="L111" i="4"/>
  <c r="N110" i="4"/>
  <c r="M110" i="4"/>
  <c r="L110" i="4"/>
  <c r="N109" i="4"/>
  <c r="M109" i="4"/>
  <c r="L109" i="4"/>
  <c r="N108" i="4"/>
  <c r="M108" i="4"/>
  <c r="L108" i="4"/>
  <c r="O107" i="4"/>
  <c r="N107" i="4"/>
  <c r="M107" i="4"/>
  <c r="L107" i="4"/>
  <c r="O106" i="4"/>
  <c r="N106" i="4"/>
  <c r="M106" i="4"/>
  <c r="L106" i="4"/>
  <c r="O80" i="4"/>
  <c r="N80" i="4"/>
  <c r="M80" i="4"/>
  <c r="L80" i="4"/>
  <c r="O79" i="4"/>
  <c r="N79" i="4"/>
  <c r="M79" i="4"/>
  <c r="L79" i="4"/>
  <c r="N78" i="4"/>
  <c r="N77" i="4"/>
  <c r="M77" i="4"/>
  <c r="L77" i="4"/>
  <c r="N76" i="4"/>
  <c r="M76" i="4"/>
  <c r="L76" i="4"/>
  <c r="M51" i="4"/>
  <c r="M50" i="4"/>
  <c r="O49" i="4"/>
  <c r="N49" i="4"/>
  <c r="M49" i="4"/>
  <c r="L49" i="4"/>
  <c r="N48" i="4"/>
  <c r="M48" i="4"/>
  <c r="L48" i="4"/>
  <c r="N47" i="4"/>
  <c r="M47" i="4"/>
  <c r="L47" i="4"/>
  <c r="N46" i="4"/>
  <c r="M46" i="4"/>
  <c r="B2" i="32"/>
  <c r="B3" i="32"/>
  <c r="G6" i="32"/>
  <c r="J24" i="32"/>
  <c r="A213" i="4"/>
  <c r="A183" i="4"/>
  <c r="A153" i="4"/>
  <c r="A123" i="4"/>
  <c r="A93" i="4"/>
  <c r="A63" i="4"/>
  <c r="A33" i="4"/>
  <c r="B3" i="5"/>
  <c r="B2" i="5"/>
  <c r="B3" i="6"/>
  <c r="B2" i="6"/>
  <c r="B2" i="13"/>
  <c r="B1" i="13"/>
  <c r="F6" i="28"/>
  <c r="E6" i="28" s="1"/>
  <c r="P12" i="8"/>
  <c r="P13" i="8"/>
  <c r="P14" i="8"/>
  <c r="M12" i="8"/>
  <c r="M13" i="8"/>
  <c r="M14" i="8"/>
  <c r="I12" i="8"/>
  <c r="I13" i="8"/>
  <c r="I14" i="8"/>
  <c r="F12" i="8"/>
  <c r="F13" i="8"/>
  <c r="F14" i="8"/>
  <c r="J38" i="28"/>
  <c r="K38" i="28"/>
  <c r="B9" i="8"/>
  <c r="B10" i="8" s="1"/>
  <c r="B11" i="8" s="1"/>
  <c r="B12" i="8" s="1"/>
  <c r="B13" i="8" s="1"/>
  <c r="B14" i="8" s="1"/>
  <c r="B15" i="8" s="1"/>
  <c r="C11" i="4"/>
  <c r="F11" i="4"/>
  <c r="L11" i="4"/>
  <c r="Q11" i="4"/>
  <c r="C24" i="4"/>
  <c r="F24" i="4"/>
  <c r="H24" i="4"/>
  <c r="B43" i="13"/>
  <c r="M43" i="13" s="1"/>
  <c r="P15" i="8"/>
  <c r="P11" i="8"/>
  <c r="P10" i="8"/>
  <c r="P8" i="8"/>
  <c r="M15" i="8"/>
  <c r="M11" i="8"/>
  <c r="M10" i="8"/>
  <c r="M9" i="8"/>
  <c r="I15" i="8"/>
  <c r="I11" i="8"/>
  <c r="I9" i="8"/>
  <c r="I8" i="8"/>
  <c r="F9" i="8"/>
  <c r="F11" i="8"/>
  <c r="F15" i="8"/>
  <c r="F8" i="8"/>
  <c r="N16" i="4"/>
  <c r="M18" i="4"/>
  <c r="N18" i="4"/>
  <c r="L19" i="4"/>
  <c r="M19" i="4"/>
  <c r="N19" i="4"/>
  <c r="O19" i="4"/>
  <c r="R321" i="4"/>
  <c r="D381" i="4"/>
  <c r="I18" i="4"/>
  <c r="O18" i="4" s="1"/>
  <c r="I321" i="4"/>
  <c r="O321" i="4" s="1"/>
  <c r="R441" i="4"/>
  <c r="F21" i="4"/>
  <c r="N15" i="4"/>
  <c r="G72" i="37"/>
  <c r="G71" i="37"/>
  <c r="G67" i="37"/>
  <c r="L63" i="37"/>
  <c r="L61" i="37"/>
  <c r="L59" i="37"/>
  <c r="L58" i="37"/>
  <c r="K51" i="37"/>
  <c r="L50" i="37"/>
  <c r="L49" i="37"/>
  <c r="L48" i="37"/>
  <c r="L47" i="37"/>
  <c r="L46" i="37"/>
  <c r="L45" i="37"/>
  <c r="L44" i="37"/>
  <c r="L43" i="37"/>
  <c r="L42" i="37"/>
  <c r="L41" i="37"/>
  <c r="L40" i="37"/>
  <c r="L39" i="37"/>
  <c r="L38" i="37"/>
  <c r="L37" i="37"/>
  <c r="O108" i="4"/>
  <c r="O109" i="4"/>
  <c r="O110" i="4"/>
  <c r="O256" i="4"/>
  <c r="F73" i="37"/>
  <c r="E51" i="37"/>
  <c r="D51" i="37" s="1"/>
  <c r="K27" i="37"/>
  <c r="L22" i="37"/>
  <c r="B11" i="33"/>
  <c r="B12" i="33" s="1"/>
  <c r="B13" i="33" s="1"/>
  <c r="B14" i="33" s="1"/>
  <c r="J316" i="4"/>
  <c r="J319" i="4"/>
  <c r="I81" i="4"/>
  <c r="J76" i="4" s="1"/>
  <c r="G367" i="13"/>
  <c r="M441" i="4" l="1"/>
  <c r="L38" i="28"/>
  <c r="R81" i="4"/>
  <c r="R141" i="4"/>
  <c r="R201" i="4"/>
  <c r="D321" i="4"/>
  <c r="D441" i="4"/>
  <c r="Q21" i="4"/>
  <c r="I17" i="4"/>
  <c r="F9" i="34" s="1"/>
  <c r="M381" i="4"/>
  <c r="M321" i="4"/>
  <c r="R51" i="4"/>
  <c r="R111" i="4"/>
  <c r="R171" i="4"/>
  <c r="R261" i="4"/>
  <c r="R381" i="4"/>
  <c r="J320" i="4"/>
  <c r="I16" i="4"/>
  <c r="F8" i="34" s="1"/>
  <c r="M471" i="4"/>
  <c r="G65" i="37"/>
  <c r="G63" i="37"/>
  <c r="G59" i="37"/>
  <c r="G58" i="37"/>
  <c r="G50" i="37"/>
  <c r="G49" i="37"/>
  <c r="G48" i="37"/>
  <c r="G47" i="37"/>
  <c r="G46" i="37"/>
  <c r="G45" i="37"/>
  <c r="G44" i="37"/>
  <c r="G43" i="37"/>
  <c r="G42" i="37"/>
  <c r="I327" i="13"/>
  <c r="I171" i="4"/>
  <c r="L16" i="4"/>
  <c r="D139" i="4"/>
  <c r="D197" i="4"/>
  <c r="E8" i="34"/>
  <c r="C28" i="4"/>
  <c r="L71" i="37"/>
  <c r="G69" i="37"/>
  <c r="I267" i="13"/>
  <c r="I292" i="13"/>
  <c r="I317" i="13"/>
  <c r="I342" i="13"/>
  <c r="I15" i="4"/>
  <c r="H21" i="4"/>
  <c r="I261" i="4"/>
  <c r="J257" i="4" s="1"/>
  <c r="M15" i="4"/>
  <c r="L18" i="4"/>
  <c r="M261" i="4"/>
  <c r="R20" i="4"/>
  <c r="R16" i="4"/>
  <c r="R18" i="4"/>
  <c r="F7" i="34"/>
  <c r="O15" i="4"/>
  <c r="G21" i="4"/>
  <c r="I381" i="4"/>
  <c r="J377" i="4" s="1"/>
  <c r="I441" i="4"/>
  <c r="L15" i="4"/>
  <c r="D259" i="4"/>
  <c r="D261" i="4" s="1"/>
  <c r="R290" i="4"/>
  <c r="R288" i="4"/>
  <c r="R350" i="4"/>
  <c r="R348" i="4"/>
  <c r="R410" i="4"/>
  <c r="R408" i="4"/>
  <c r="D470" i="4"/>
  <c r="D468" i="4"/>
  <c r="R470" i="4"/>
  <c r="R468" i="4"/>
  <c r="G61" i="37"/>
  <c r="L8" i="8"/>
  <c r="M8" i="8" s="1"/>
  <c r="K73" i="37"/>
  <c r="F51" i="37"/>
  <c r="F27" i="37"/>
  <c r="E27" i="37"/>
  <c r="J80" i="4"/>
  <c r="C20" i="4"/>
  <c r="E12" i="34" s="1"/>
  <c r="O16" i="4"/>
  <c r="G377" i="13"/>
  <c r="G352" i="13"/>
  <c r="G22" i="37"/>
  <c r="M18" i="13"/>
  <c r="K6" i="28"/>
  <c r="F6" i="33"/>
  <c r="F51" i="33" s="1"/>
  <c r="F25" i="13"/>
  <c r="F20" i="13"/>
  <c r="F15" i="13"/>
  <c r="E56" i="37"/>
  <c r="E34" i="37"/>
  <c r="G17" i="37"/>
  <c r="G16" i="37"/>
  <c r="G15" i="37"/>
  <c r="L14" i="37"/>
  <c r="G14" i="37"/>
  <c r="L13" i="37"/>
  <c r="G12" i="37"/>
  <c r="I7" i="37"/>
  <c r="B68" i="13"/>
  <c r="M68" i="13" s="1"/>
  <c r="B93" i="13"/>
  <c r="M93" i="13" s="1"/>
  <c r="B118" i="13"/>
  <c r="M118" i="13" s="1"/>
  <c r="B143" i="13"/>
  <c r="M143" i="13" s="1"/>
  <c r="B168" i="13"/>
  <c r="M168" i="13" s="1"/>
  <c r="B193" i="13"/>
  <c r="M193" i="13" s="1"/>
  <c r="B218" i="13"/>
  <c r="M218" i="13" s="1"/>
  <c r="G40" i="13"/>
  <c r="K40" i="13"/>
  <c r="G45" i="13"/>
  <c r="K45" i="13"/>
  <c r="G50" i="13"/>
  <c r="K50" i="13"/>
  <c r="G65" i="13"/>
  <c r="K65" i="13"/>
  <c r="G70" i="13"/>
  <c r="K70" i="13"/>
  <c r="G75" i="13"/>
  <c r="K75" i="13"/>
  <c r="G60" i="13"/>
  <c r="K60" i="13"/>
  <c r="G85" i="13"/>
  <c r="K85" i="13"/>
  <c r="G90" i="13"/>
  <c r="K90" i="13"/>
  <c r="G95" i="13"/>
  <c r="K95" i="13"/>
  <c r="G100" i="13"/>
  <c r="K100" i="13"/>
  <c r="G110" i="13"/>
  <c r="K110" i="13"/>
  <c r="G115" i="13"/>
  <c r="K115" i="13"/>
  <c r="G120" i="13"/>
  <c r="K120" i="13"/>
  <c r="G125" i="13"/>
  <c r="K125" i="13"/>
  <c r="G135" i="13"/>
  <c r="K135" i="13"/>
  <c r="G140" i="13"/>
  <c r="K140" i="13"/>
  <c r="G145" i="13"/>
  <c r="K145" i="13"/>
  <c r="G150" i="13"/>
  <c r="K150" i="13"/>
  <c r="G160" i="13"/>
  <c r="K160" i="13"/>
  <c r="G165" i="13"/>
  <c r="K165" i="13"/>
  <c r="G170" i="13"/>
  <c r="K170" i="13"/>
  <c r="G175" i="13"/>
  <c r="K175" i="13"/>
  <c r="G185" i="13"/>
  <c r="K185" i="13"/>
  <c r="G190" i="13"/>
  <c r="K190" i="13"/>
  <c r="G195" i="13"/>
  <c r="K195" i="13"/>
  <c r="G200" i="13"/>
  <c r="K200" i="13"/>
  <c r="G210" i="13"/>
  <c r="K210" i="13"/>
  <c r="G215" i="13"/>
  <c r="K215" i="13"/>
  <c r="G220" i="13"/>
  <c r="K220" i="13"/>
  <c r="G225" i="13"/>
  <c r="K225" i="13"/>
  <c r="G237" i="13"/>
  <c r="K237" i="13"/>
  <c r="G242" i="13"/>
  <c r="K242" i="13"/>
  <c r="G247" i="13"/>
  <c r="K247" i="13"/>
  <c r="G252" i="13"/>
  <c r="K252" i="13"/>
  <c r="K262" i="13"/>
  <c r="G267" i="13"/>
  <c r="F272" i="13"/>
  <c r="F277" i="13"/>
  <c r="K287" i="13"/>
  <c r="G292" i="13"/>
  <c r="F297" i="13"/>
  <c r="F302" i="13"/>
  <c r="K312" i="13"/>
  <c r="G317" i="13"/>
  <c r="F322" i="13"/>
  <c r="F327" i="13"/>
  <c r="K337" i="13"/>
  <c r="K347" i="13"/>
  <c r="G362" i="13"/>
  <c r="F372" i="13"/>
  <c r="K377" i="13"/>
  <c r="F35" i="13"/>
  <c r="M20" i="4"/>
  <c r="L50" i="4"/>
  <c r="N50" i="4"/>
  <c r="N51" i="4"/>
  <c r="D49" i="4"/>
  <c r="D51" i="4" s="1"/>
  <c r="C81" i="4"/>
  <c r="D77" i="4" s="1"/>
  <c r="D6" i="28"/>
  <c r="I6" i="28" s="1"/>
  <c r="J6" i="28"/>
  <c r="L70" i="37"/>
  <c r="G70" i="37"/>
  <c r="L69" i="37"/>
  <c r="L67" i="37"/>
  <c r="L65" i="37"/>
  <c r="H10" i="13"/>
  <c r="H327" i="13" s="1"/>
  <c r="J73" i="37"/>
  <c r="L73" i="37" s="1"/>
  <c r="L72" i="37"/>
  <c r="I48" i="37"/>
  <c r="I44" i="37"/>
  <c r="L25" i="37"/>
  <c r="G25" i="37"/>
  <c r="L24" i="37"/>
  <c r="G24" i="37"/>
  <c r="L23" i="37"/>
  <c r="G23" i="37"/>
  <c r="L51" i="4"/>
  <c r="L78" i="4"/>
  <c r="M111" i="4"/>
  <c r="L141" i="4"/>
  <c r="N141" i="4"/>
  <c r="L171" i="4"/>
  <c r="N171" i="4"/>
  <c r="L201" i="4"/>
  <c r="N201" i="4"/>
  <c r="D109" i="4"/>
  <c r="D111" i="4" s="1"/>
  <c r="D140" i="4"/>
  <c r="D138" i="4"/>
  <c r="D169" i="4"/>
  <c r="D171" i="4" s="1"/>
  <c r="D200" i="4"/>
  <c r="D198" i="4"/>
  <c r="D27" i="4"/>
  <c r="J78" i="4"/>
  <c r="J79" i="4"/>
  <c r="I51" i="4"/>
  <c r="O51" i="4" s="1"/>
  <c r="J47" i="4"/>
  <c r="O26" i="37"/>
  <c r="N26" i="37" s="1"/>
  <c r="L66" i="37"/>
  <c r="G66" i="37"/>
  <c r="L21" i="37"/>
  <c r="G21" i="37"/>
  <c r="L20" i="37"/>
  <c r="G20" i="37"/>
  <c r="L19" i="37"/>
  <c r="G19" i="37"/>
  <c r="L18" i="37"/>
  <c r="G18" i="37"/>
  <c r="B370" i="13"/>
  <c r="M370" i="13" s="1"/>
  <c r="I50" i="37"/>
  <c r="I46" i="37"/>
  <c r="I42" i="37"/>
  <c r="N32" i="37"/>
  <c r="S32" i="37" s="1"/>
  <c r="I362" i="13"/>
  <c r="I367" i="13"/>
  <c r="B15" i="33"/>
  <c r="B80" i="33"/>
  <c r="F13" i="32"/>
  <c r="B60" i="33"/>
  <c r="B8" i="13"/>
  <c r="M8" i="13" s="1"/>
  <c r="B88" i="13"/>
  <c r="M88" i="13" s="1"/>
  <c r="B163" i="13"/>
  <c r="M163" i="13" s="1"/>
  <c r="B240" i="13"/>
  <c r="M240" i="13" s="1"/>
  <c r="B340" i="13"/>
  <c r="M340" i="13" s="1"/>
  <c r="B315" i="13"/>
  <c r="M315" i="13" s="1"/>
  <c r="B265" i="13"/>
  <c r="M265" i="13" s="1"/>
  <c r="B113" i="13"/>
  <c r="M113" i="13" s="1"/>
  <c r="B38" i="13"/>
  <c r="M38" i="13" s="1"/>
  <c r="M13" i="13"/>
  <c r="B213" i="13"/>
  <c r="M213" i="13" s="1"/>
  <c r="B290" i="13"/>
  <c r="M290" i="13" s="1"/>
  <c r="B365" i="13"/>
  <c r="M365" i="13" s="1"/>
  <c r="F24" i="5"/>
  <c r="O24" i="5" s="1"/>
  <c r="P26" i="37"/>
  <c r="Q26" i="37" s="1"/>
  <c r="B37" i="33"/>
  <c r="J77" i="4"/>
  <c r="D6" i="33"/>
  <c r="C6" i="33" s="1"/>
  <c r="E73" i="37"/>
  <c r="D73" i="37" s="1"/>
  <c r="L68" i="37"/>
  <c r="G68" i="37"/>
  <c r="S7" i="37"/>
  <c r="J51" i="37"/>
  <c r="L51" i="37" s="1"/>
  <c r="I49" i="37"/>
  <c r="I47" i="37"/>
  <c r="I45" i="37"/>
  <c r="I43" i="37"/>
  <c r="L26" i="37"/>
  <c r="G26" i="37"/>
  <c r="I22" i="37"/>
  <c r="L17" i="37"/>
  <c r="L64" i="37"/>
  <c r="G64" i="37"/>
  <c r="I63" i="37"/>
  <c r="L62" i="37"/>
  <c r="G62" i="37"/>
  <c r="I61" i="37"/>
  <c r="L60" i="37"/>
  <c r="G60" i="37"/>
  <c r="I59" i="37"/>
  <c r="I58" i="37"/>
  <c r="G51" i="37"/>
  <c r="I36" i="37"/>
  <c r="G36" i="37"/>
  <c r="R411" i="4"/>
  <c r="J317" i="4"/>
  <c r="J318" i="4"/>
  <c r="O261" i="4"/>
  <c r="R15" i="4"/>
  <c r="D231" i="4"/>
  <c r="I291" i="4"/>
  <c r="J287" i="4" s="1"/>
  <c r="I231" i="4"/>
  <c r="L16" i="37"/>
  <c r="L15" i="37"/>
  <c r="I13" i="37"/>
  <c r="G13" i="37"/>
  <c r="L12" i="37"/>
  <c r="I11" i="37"/>
  <c r="G11" i="37"/>
  <c r="J379" i="4"/>
  <c r="J380" i="4"/>
  <c r="I411" i="4"/>
  <c r="J410" i="4" s="1"/>
  <c r="R231" i="4"/>
  <c r="R351" i="4"/>
  <c r="R19" i="4"/>
  <c r="D411" i="4"/>
  <c r="I351" i="4"/>
  <c r="J347" i="4" s="1"/>
  <c r="R17" i="4"/>
  <c r="R21" i="4" s="1"/>
  <c r="D291" i="4"/>
  <c r="R291" i="4"/>
  <c r="D351" i="4"/>
  <c r="I471" i="4"/>
  <c r="O471" i="4" s="1"/>
  <c r="J349" i="4"/>
  <c r="J350" i="4"/>
  <c r="J228" i="4"/>
  <c r="J230" i="4"/>
  <c r="O231" i="4"/>
  <c r="J227" i="4"/>
  <c r="J229" i="4"/>
  <c r="J226" i="4"/>
  <c r="I201" i="4"/>
  <c r="J196" i="4" s="1"/>
  <c r="J170" i="4"/>
  <c r="O171" i="4"/>
  <c r="J169" i="4"/>
  <c r="J167" i="4"/>
  <c r="J168" i="4"/>
  <c r="J166" i="4"/>
  <c r="O167" i="4"/>
  <c r="I141" i="4"/>
  <c r="J136" i="4" s="1"/>
  <c r="O111" i="4"/>
  <c r="F10" i="34"/>
  <c r="F13" i="34" s="1"/>
  <c r="G8" i="34" s="1"/>
  <c r="J109" i="4"/>
  <c r="J107" i="4"/>
  <c r="I21" i="4"/>
  <c r="J110" i="4"/>
  <c r="J108" i="4"/>
  <c r="J106" i="4"/>
  <c r="B208" i="13"/>
  <c r="B260" i="13"/>
  <c r="B183" i="13"/>
  <c r="B58" i="13"/>
  <c r="B310" i="13"/>
  <c r="B33" i="13"/>
  <c r="B235" i="13"/>
  <c r="B360" i="13"/>
  <c r="B285" i="13"/>
  <c r="J15" i="13"/>
  <c r="J352" i="13"/>
  <c r="J302" i="13"/>
  <c r="J252" i="13"/>
  <c r="J200" i="13"/>
  <c r="J150" i="13"/>
  <c r="J100" i="13"/>
  <c r="J50" i="13"/>
  <c r="J372" i="13"/>
  <c r="J322" i="13"/>
  <c r="J272" i="13"/>
  <c r="J220" i="13"/>
  <c r="J195" i="13"/>
  <c r="J145" i="13"/>
  <c r="J95" i="13"/>
  <c r="J45" i="13"/>
  <c r="J25" i="13"/>
  <c r="J367" i="13"/>
  <c r="J342" i="13"/>
  <c r="J317" i="13"/>
  <c r="J292" i="13"/>
  <c r="J267" i="13"/>
  <c r="J242" i="13"/>
  <c r="J215" i="13"/>
  <c r="J190" i="13"/>
  <c r="J165" i="13"/>
  <c r="J140" i="13"/>
  <c r="J115" i="13"/>
  <c r="J90" i="13"/>
  <c r="J70" i="13"/>
  <c r="J40" i="13"/>
  <c r="J35" i="13"/>
  <c r="J362" i="13"/>
  <c r="J337" i="13"/>
  <c r="J312" i="13"/>
  <c r="J287" i="13"/>
  <c r="J262" i="13"/>
  <c r="J237" i="13"/>
  <c r="J210" i="13"/>
  <c r="J185" i="13"/>
  <c r="J160" i="13"/>
  <c r="J135" i="13"/>
  <c r="J110" i="13"/>
  <c r="J85" i="13"/>
  <c r="J65" i="13"/>
  <c r="J377" i="13"/>
  <c r="J327" i="13"/>
  <c r="J277" i="13"/>
  <c r="J225" i="13"/>
  <c r="J175" i="13"/>
  <c r="J125" i="13"/>
  <c r="J60" i="13"/>
  <c r="J20" i="13"/>
  <c r="J347" i="13"/>
  <c r="J297" i="13"/>
  <c r="J247" i="13"/>
  <c r="J170" i="13"/>
  <c r="J120" i="13"/>
  <c r="J75" i="13"/>
  <c r="J51" i="33"/>
  <c r="J31" i="33"/>
  <c r="I51" i="37"/>
  <c r="F31" i="33"/>
  <c r="H51" i="33"/>
  <c r="J27" i="37"/>
  <c r="I27" i="37" s="1"/>
  <c r="B63" i="13"/>
  <c r="M63" i="13" s="1"/>
  <c r="B138" i="13"/>
  <c r="M138" i="13" s="1"/>
  <c r="B188" i="13"/>
  <c r="M188" i="13" s="1"/>
  <c r="G262" i="13"/>
  <c r="I262" i="13"/>
  <c r="K267" i="13"/>
  <c r="G272" i="13"/>
  <c r="I272" i="13"/>
  <c r="K277" i="13"/>
  <c r="G287" i="13"/>
  <c r="I287" i="13"/>
  <c r="K292" i="13"/>
  <c r="G297" i="13"/>
  <c r="I297" i="13"/>
  <c r="K302" i="13"/>
  <c r="G312" i="13"/>
  <c r="I312" i="13"/>
  <c r="K317" i="13"/>
  <c r="G322" i="13"/>
  <c r="I322" i="13"/>
  <c r="K327" i="13"/>
  <c r="G337" i="13"/>
  <c r="I337" i="13"/>
  <c r="F342" i="13"/>
  <c r="H342" i="13"/>
  <c r="K342" i="13"/>
  <c r="G347" i="13"/>
  <c r="I347" i="13"/>
  <c r="F352" i="13"/>
  <c r="I352" i="13"/>
  <c r="F362" i="13"/>
  <c r="K362" i="13"/>
  <c r="K367" i="13"/>
  <c r="G372" i="13"/>
  <c r="I372" i="13"/>
  <c r="F377" i="13"/>
  <c r="I377" i="13"/>
  <c r="F28" i="4"/>
  <c r="D79" i="4"/>
  <c r="M81" i="4"/>
  <c r="D76" i="4"/>
  <c r="D78" i="4"/>
  <c r="D80" i="4"/>
  <c r="N81" i="4"/>
  <c r="L81" i="4"/>
  <c r="O81" i="4"/>
  <c r="M78" i="4"/>
  <c r="O78" i="4"/>
  <c r="C17" i="4"/>
  <c r="J409" i="4" l="1"/>
  <c r="J290" i="4"/>
  <c r="J289" i="4"/>
  <c r="J46" i="4"/>
  <c r="J48" i="4"/>
  <c r="H367" i="13"/>
  <c r="H362" i="13"/>
  <c r="B4" i="13"/>
  <c r="B108" i="13"/>
  <c r="B335" i="13"/>
  <c r="B83" i="13"/>
  <c r="B133" i="13"/>
  <c r="B158" i="13"/>
  <c r="M23" i="13"/>
  <c r="J256" i="4"/>
  <c r="J258" i="4"/>
  <c r="J260" i="4"/>
  <c r="J259" i="4"/>
  <c r="O20" i="4"/>
  <c r="O441" i="4"/>
  <c r="J438" i="4"/>
  <c r="J439" i="4"/>
  <c r="J436" i="4"/>
  <c r="J440" i="4"/>
  <c r="J376" i="4"/>
  <c r="O381" i="4"/>
  <c r="J378" i="4"/>
  <c r="R471" i="4"/>
  <c r="D471" i="4"/>
  <c r="J437" i="4"/>
  <c r="D201" i="4"/>
  <c r="G27" i="37"/>
  <c r="L20" i="4"/>
  <c r="D141" i="4"/>
  <c r="N20" i="4"/>
  <c r="G73" i="37"/>
  <c r="J50" i="4"/>
  <c r="J49" i="4"/>
  <c r="J18" i="4"/>
  <c r="H10" i="8"/>
  <c r="I10" i="8" s="1"/>
  <c r="D7" i="37"/>
  <c r="I32" i="37"/>
  <c r="I54" i="37"/>
  <c r="H35" i="13"/>
  <c r="H377" i="13"/>
  <c r="H372" i="13"/>
  <c r="H337" i="13"/>
  <c r="H322" i="13"/>
  <c r="H302" i="13"/>
  <c r="H297" i="13"/>
  <c r="H277" i="13"/>
  <c r="H272" i="13"/>
  <c r="H247" i="13"/>
  <c r="H237" i="13"/>
  <c r="H220" i="13"/>
  <c r="H210" i="13"/>
  <c r="H195" i="13"/>
  <c r="H185" i="13"/>
  <c r="H170" i="13"/>
  <c r="H160" i="13"/>
  <c r="H145" i="13"/>
  <c r="H135" i="13"/>
  <c r="H120" i="13"/>
  <c r="H110" i="13"/>
  <c r="H95" i="13"/>
  <c r="H85" i="13"/>
  <c r="H75" i="13"/>
  <c r="H65" i="13"/>
  <c r="H45" i="13"/>
  <c r="H20" i="13"/>
  <c r="H352" i="13"/>
  <c r="H347" i="13"/>
  <c r="H317" i="13"/>
  <c r="H312" i="13"/>
  <c r="H292" i="13"/>
  <c r="H287" i="13"/>
  <c r="H267" i="13"/>
  <c r="H262" i="13"/>
  <c r="H252" i="13"/>
  <c r="H242" i="13"/>
  <c r="H225" i="13"/>
  <c r="H215" i="13"/>
  <c r="H200" i="13"/>
  <c r="H190" i="13"/>
  <c r="H175" i="13"/>
  <c r="H165" i="13"/>
  <c r="H150" i="13"/>
  <c r="H140" i="13"/>
  <c r="H125" i="13"/>
  <c r="H115" i="13"/>
  <c r="H100" i="13"/>
  <c r="H90" i="13"/>
  <c r="H60" i="13"/>
  <c r="H70" i="13"/>
  <c r="H50" i="13"/>
  <c r="H40" i="13"/>
  <c r="H15" i="13"/>
  <c r="H25" i="13"/>
  <c r="J199" i="4"/>
  <c r="J198" i="4"/>
  <c r="J171" i="4"/>
  <c r="J111" i="4"/>
  <c r="J81" i="4"/>
  <c r="J51" i="4"/>
  <c r="D51" i="33"/>
  <c r="D31" i="33"/>
  <c r="B61" i="33"/>
  <c r="B81" i="33"/>
  <c r="B16" i="33"/>
  <c r="J381" i="4"/>
  <c r="J288" i="4"/>
  <c r="O291" i="4"/>
  <c r="J321" i="4"/>
  <c r="I73" i="37"/>
  <c r="B38" i="33"/>
  <c r="F14" i="32"/>
  <c r="J470" i="4"/>
  <c r="J346" i="4"/>
  <c r="J408" i="4"/>
  <c r="J406" i="4"/>
  <c r="J466" i="4"/>
  <c r="J407" i="4"/>
  <c r="J411" i="4" s="1"/>
  <c r="O411" i="4"/>
  <c r="J231" i="4"/>
  <c r="J467" i="4"/>
  <c r="J468" i="4"/>
  <c r="J348" i="4"/>
  <c r="O351" i="4"/>
  <c r="J351" i="4"/>
  <c r="J139" i="4"/>
  <c r="O201" i="4"/>
  <c r="J200" i="4"/>
  <c r="J197" i="4"/>
  <c r="J140" i="4"/>
  <c r="J137" i="4"/>
  <c r="O141" i="4"/>
  <c r="J138" i="4"/>
  <c r="G7" i="34"/>
  <c r="G10" i="34"/>
  <c r="J15" i="4"/>
  <c r="J16" i="4"/>
  <c r="G9" i="34"/>
  <c r="J20" i="4"/>
  <c r="G11" i="34"/>
  <c r="G13" i="34"/>
  <c r="J17" i="4"/>
  <c r="J19" i="4"/>
  <c r="G12" i="34"/>
  <c r="M300" i="13"/>
  <c r="M285" i="13"/>
  <c r="M360" i="13"/>
  <c r="M375" i="13"/>
  <c r="M235" i="13"/>
  <c r="M250" i="13"/>
  <c r="M48" i="13"/>
  <c r="M33" i="13"/>
  <c r="M325" i="13"/>
  <c r="M310" i="13"/>
  <c r="M58" i="13"/>
  <c r="M73" i="13"/>
  <c r="M198" i="13"/>
  <c r="M183" i="13"/>
  <c r="M275" i="13"/>
  <c r="M260" i="13"/>
  <c r="M208" i="13"/>
  <c r="M223" i="13"/>
  <c r="L27" i="37"/>
  <c r="C31" i="33"/>
  <c r="C51" i="33"/>
  <c r="M123" i="13"/>
  <c r="M108" i="13"/>
  <c r="M350" i="13"/>
  <c r="M335" i="13"/>
  <c r="M98" i="13"/>
  <c r="M83" i="13"/>
  <c r="M133" i="13"/>
  <c r="M148" i="13"/>
  <c r="M158" i="13"/>
  <c r="M173" i="13"/>
  <c r="E9" i="34"/>
  <c r="M17" i="4"/>
  <c r="O17" i="4"/>
  <c r="C21" i="4"/>
  <c r="L17" i="4"/>
  <c r="N17" i="4"/>
  <c r="D81" i="4"/>
  <c r="B363" i="13"/>
  <c r="O293" i="13"/>
  <c r="F216" i="13"/>
  <c r="C61" i="13"/>
  <c r="M66" i="13"/>
  <c r="J34" i="33"/>
  <c r="I191" i="13"/>
  <c r="G9" i="32"/>
  <c r="C21" i="5"/>
  <c r="G293" i="13"/>
  <c r="D11" i="32"/>
  <c r="E10" i="32"/>
  <c r="I318" i="13"/>
  <c r="G238" i="13"/>
  <c r="C363" i="13"/>
  <c r="A14" i="33"/>
  <c r="H54" i="33"/>
  <c r="H111" i="13"/>
  <c r="I11" i="33"/>
  <c r="G368" i="13"/>
  <c r="I16" i="13"/>
  <c r="O318" i="13"/>
  <c r="F136" i="13"/>
  <c r="H263" i="13"/>
  <c r="I78" i="33"/>
  <c r="A12" i="33"/>
  <c r="O343" i="13"/>
  <c r="C11" i="5"/>
  <c r="F368" i="13"/>
  <c r="M263" i="13"/>
  <c r="C23" i="5"/>
  <c r="O61" i="13"/>
  <c r="N161" i="13"/>
  <c r="J56" i="33"/>
  <c r="N263" i="13"/>
  <c r="F338" i="13"/>
  <c r="H136" i="13"/>
  <c r="B186" i="13"/>
  <c r="I55" i="33"/>
  <c r="N268" i="13"/>
  <c r="G10" i="32"/>
  <c r="C14" i="5"/>
  <c r="I368" i="13"/>
  <c r="N166" i="13"/>
  <c r="G318" i="13"/>
  <c r="H313" i="13"/>
  <c r="N318" i="13"/>
  <c r="G141" i="13"/>
  <c r="O211" i="13"/>
  <c r="N111" i="13"/>
  <c r="B166" i="13"/>
  <c r="N338" i="13"/>
  <c r="C36" i="13"/>
  <c r="I313" i="13"/>
  <c r="H35" i="33"/>
  <c r="I238" i="13"/>
  <c r="H36" i="13"/>
  <c r="G363" i="13"/>
  <c r="C343" i="13"/>
  <c r="H166" i="13"/>
  <c r="M41" i="13"/>
  <c r="N363" i="13"/>
  <c r="H56" i="33"/>
  <c r="O16" i="13"/>
  <c r="C15" i="5"/>
  <c r="C9" i="32"/>
  <c r="J13" i="33"/>
  <c r="B313" i="13"/>
  <c r="G12" i="32"/>
  <c r="H9" i="32"/>
  <c r="G116" i="13"/>
  <c r="N16" i="13"/>
  <c r="C22" i="5"/>
  <c r="I58" i="33"/>
  <c r="H9" i="33"/>
  <c r="C16" i="13"/>
  <c r="H141" i="13"/>
  <c r="H10" i="32"/>
  <c r="B36" i="13"/>
  <c r="I77" i="33"/>
  <c r="M191" i="13"/>
  <c r="C116" i="13"/>
  <c r="G268" i="13"/>
  <c r="M338" i="13"/>
  <c r="H12" i="32"/>
  <c r="B66" i="13"/>
  <c r="D12" i="32"/>
  <c r="O186" i="13"/>
  <c r="N186" i="13"/>
  <c r="N141" i="13"/>
  <c r="N61" i="13"/>
  <c r="H268" i="13"/>
  <c r="N66" i="13"/>
  <c r="H11" i="13"/>
  <c r="F186" i="13"/>
  <c r="G111" i="13"/>
  <c r="J79" i="33"/>
  <c r="M343" i="13"/>
  <c r="F191" i="13"/>
  <c r="N116" i="13"/>
  <c r="F11" i="13"/>
  <c r="J57" i="33"/>
  <c r="I56" i="33"/>
  <c r="C166" i="13"/>
  <c r="I57" i="33"/>
  <c r="B9" i="32"/>
  <c r="K77" i="33"/>
  <c r="B343" i="13"/>
  <c r="C216" i="13"/>
  <c r="C11" i="13"/>
  <c r="I91" i="13"/>
  <c r="G41" i="13"/>
  <c r="H91" i="13"/>
  <c r="G91" i="13"/>
  <c r="C17" i="5"/>
  <c r="F41" i="13"/>
  <c r="C338" i="13"/>
  <c r="I363" i="13"/>
  <c r="F343" i="13"/>
  <c r="G61" i="13"/>
  <c r="A11" i="33"/>
  <c r="H338" i="13"/>
  <c r="O191" i="13"/>
  <c r="N293" i="13"/>
  <c r="H14" i="33"/>
  <c r="F363" i="13"/>
  <c r="I161" i="13"/>
  <c r="D9" i="32"/>
  <c r="G191" i="13"/>
  <c r="O363" i="13"/>
  <c r="M111" i="13"/>
  <c r="F243" i="13"/>
  <c r="I66" i="13"/>
  <c r="J14" i="33"/>
  <c r="M136" i="13"/>
  <c r="F16" i="13"/>
  <c r="H288" i="13"/>
  <c r="H86" i="13"/>
  <c r="O41" i="13"/>
  <c r="C191" i="13"/>
  <c r="G86" i="13"/>
  <c r="I268" i="13"/>
  <c r="O368" i="13"/>
  <c r="C268" i="13"/>
  <c r="H66" i="13"/>
  <c r="B211" i="13"/>
  <c r="B41" i="13"/>
  <c r="B268" i="13"/>
  <c r="G338" i="13"/>
  <c r="O141" i="13"/>
  <c r="H58" i="33"/>
  <c r="M288" i="13"/>
  <c r="O238" i="13"/>
  <c r="I116" i="13"/>
  <c r="O288" i="13"/>
  <c r="H243" i="13"/>
  <c r="N343" i="13"/>
  <c r="N86" i="13"/>
  <c r="N243" i="13"/>
  <c r="G36" i="13"/>
  <c r="I86" i="13"/>
  <c r="M61" i="13"/>
  <c r="C91" i="13"/>
  <c r="C211" i="13"/>
  <c r="C18" i="5"/>
  <c r="G216" i="13"/>
  <c r="F36" i="13"/>
  <c r="C368" i="13"/>
  <c r="J54" i="33"/>
  <c r="F111" i="13"/>
  <c r="C243" i="13"/>
  <c r="H55" i="33"/>
  <c r="C141" i="13"/>
  <c r="F238" i="13"/>
  <c r="C19" i="5"/>
  <c r="I59" i="33"/>
  <c r="H293" i="13"/>
  <c r="C238" i="13"/>
  <c r="B216" i="13"/>
  <c r="I11" i="13"/>
  <c r="I12" i="33"/>
  <c r="H238" i="13"/>
  <c r="D10" i="32"/>
  <c r="O166" i="13"/>
  <c r="M36" i="13"/>
  <c r="G161" i="13"/>
  <c r="G186" i="13"/>
  <c r="B16" i="13"/>
  <c r="F313" i="13"/>
  <c r="H11" i="33"/>
  <c r="I15" i="33"/>
  <c r="G16" i="13"/>
  <c r="B238" i="13"/>
  <c r="H34" i="33"/>
  <c r="M243" i="13"/>
  <c r="J59" i="33"/>
  <c r="H10" i="33"/>
  <c r="I338" i="13"/>
  <c r="I186" i="13"/>
  <c r="J77" i="33"/>
  <c r="M186" i="13"/>
  <c r="O91" i="13"/>
  <c r="C186" i="13"/>
  <c r="J9" i="33"/>
  <c r="K78" i="33"/>
  <c r="O216" i="13"/>
  <c r="B12" i="32"/>
  <c r="B91" i="13"/>
  <c r="B111" i="13"/>
  <c r="B318" i="13"/>
  <c r="N41" i="13"/>
  <c r="B263" i="13"/>
  <c r="B243" i="13"/>
  <c r="N11" i="13"/>
  <c r="C9" i="5"/>
  <c r="K79" i="33"/>
  <c r="H363" i="13"/>
  <c r="I166" i="13"/>
  <c r="B191" i="13"/>
  <c r="H57" i="33"/>
  <c r="C293" i="13"/>
  <c r="N313" i="13"/>
  <c r="O11" i="13"/>
  <c r="M11" i="13"/>
  <c r="M86" i="13"/>
  <c r="C313" i="13"/>
  <c r="O338" i="13"/>
  <c r="I141" i="13"/>
  <c r="G11" i="32"/>
  <c r="B141" i="13"/>
  <c r="N36" i="13"/>
  <c r="C66" i="13"/>
  <c r="B288" i="13"/>
  <c r="H59" i="33"/>
  <c r="F211" i="13"/>
  <c r="B11" i="13"/>
  <c r="F318" i="13"/>
  <c r="H11" i="32"/>
  <c r="C86" i="13"/>
  <c r="C10" i="32"/>
  <c r="I61" i="13"/>
  <c r="B293" i="13"/>
  <c r="G136" i="13"/>
  <c r="M211" i="13"/>
  <c r="C10" i="5"/>
  <c r="H116" i="13"/>
  <c r="M268" i="13"/>
  <c r="B368" i="13"/>
  <c r="O161" i="13"/>
  <c r="C41" i="13"/>
  <c r="N136" i="13"/>
  <c r="G66" i="13"/>
  <c r="G243" i="13"/>
  <c r="F263" i="13"/>
  <c r="M16" i="13"/>
  <c r="M116" i="13"/>
  <c r="J10" i="33"/>
  <c r="B136" i="13"/>
  <c r="I13" i="33"/>
  <c r="G166" i="13"/>
  <c r="I343" i="13"/>
  <c r="F268" i="13"/>
  <c r="C288" i="13"/>
  <c r="H36" i="33"/>
  <c r="O86" i="13"/>
  <c r="F293" i="13"/>
  <c r="I36" i="13"/>
  <c r="G288" i="13"/>
  <c r="I10" i="33"/>
  <c r="I14" i="33"/>
  <c r="O263" i="13"/>
  <c r="M363" i="13"/>
  <c r="G263" i="13"/>
  <c r="I216" i="13"/>
  <c r="N191" i="13"/>
  <c r="O136" i="13"/>
  <c r="A10" i="33"/>
  <c r="F66" i="13"/>
  <c r="H16" i="13"/>
  <c r="H211" i="13"/>
  <c r="O36" i="13"/>
  <c r="I293" i="13"/>
  <c r="F161" i="13"/>
  <c r="H13" i="33"/>
  <c r="H343" i="13"/>
  <c r="C136" i="13"/>
  <c r="M313" i="13"/>
  <c r="O66" i="13"/>
  <c r="G11" i="13"/>
  <c r="I136" i="13"/>
  <c r="H41" i="13"/>
  <c r="J36" i="33"/>
  <c r="G343" i="13"/>
  <c r="E12" i="32"/>
  <c r="H61" i="13"/>
  <c r="N91" i="13"/>
  <c r="N238" i="13"/>
  <c r="I41" i="13"/>
  <c r="H368" i="13"/>
  <c r="C111" i="13"/>
  <c r="F288" i="13"/>
  <c r="B338" i="13"/>
  <c r="B161" i="13"/>
  <c r="I263" i="13"/>
  <c r="G313" i="13"/>
  <c r="M293" i="13"/>
  <c r="J12" i="33"/>
  <c r="H161" i="13"/>
  <c r="B11" i="32"/>
  <c r="C20" i="5"/>
  <c r="O313" i="13"/>
  <c r="B61" i="13"/>
  <c r="J35" i="33"/>
  <c r="I288" i="13"/>
  <c r="A9" i="33"/>
  <c r="H216" i="13"/>
  <c r="I9" i="33"/>
  <c r="O268" i="13"/>
  <c r="C12" i="32"/>
  <c r="E9" i="32"/>
  <c r="M318" i="13"/>
  <c r="N288" i="13"/>
  <c r="O243" i="13"/>
  <c r="M166" i="13"/>
  <c r="C161" i="13"/>
  <c r="H191" i="13"/>
  <c r="B10" i="32"/>
  <c r="M368" i="13"/>
  <c r="C12" i="5"/>
  <c r="I243" i="13"/>
  <c r="F166" i="13"/>
  <c r="M161" i="13"/>
  <c r="M141" i="13"/>
  <c r="H12" i="33"/>
  <c r="M91" i="13"/>
  <c r="A13" i="33"/>
  <c r="J78" i="33"/>
  <c r="C16" i="5"/>
  <c r="J11" i="33"/>
  <c r="J55" i="33"/>
  <c r="C11" i="32"/>
  <c r="H318" i="13"/>
  <c r="I211" i="13"/>
  <c r="F141" i="13"/>
  <c r="I79" i="33"/>
  <c r="M216" i="13"/>
  <c r="N211" i="13"/>
  <c r="O116" i="13"/>
  <c r="I111" i="13"/>
  <c r="M238" i="13"/>
  <c r="B86" i="13"/>
  <c r="N368" i="13"/>
  <c r="J58" i="33"/>
  <c r="H186" i="13"/>
  <c r="E11" i="32"/>
  <c r="O111" i="13"/>
  <c r="F86" i="13"/>
  <c r="F116" i="13"/>
  <c r="G211" i="13"/>
  <c r="I54" i="33"/>
  <c r="F91" i="13"/>
  <c r="N216" i="13"/>
  <c r="B116" i="13"/>
  <c r="C318" i="13"/>
  <c r="C13" i="5"/>
  <c r="C263" i="13"/>
  <c r="F61" i="13"/>
  <c r="N46" i="13"/>
  <c r="I60" i="33"/>
  <c r="I80" i="33"/>
  <c r="B21" i="13"/>
  <c r="F121" i="13"/>
  <c r="J60" i="33"/>
  <c r="G46" i="13"/>
  <c r="H146" i="13"/>
  <c r="J15" i="33"/>
  <c r="M21" i="13"/>
  <c r="H121" i="13"/>
  <c r="N71" i="13"/>
  <c r="B121" i="13"/>
  <c r="D13" i="32"/>
  <c r="F71" i="13"/>
  <c r="F21" i="13"/>
  <c r="O46" i="13"/>
  <c r="A15" i="33"/>
  <c r="B96" i="13"/>
  <c r="C96" i="13"/>
  <c r="H71" i="13"/>
  <c r="H60" i="33"/>
  <c r="H46" i="13"/>
  <c r="C46" i="13"/>
  <c r="G13" i="32"/>
  <c r="H96" i="13"/>
  <c r="C171" i="13"/>
  <c r="E13" i="32"/>
  <c r="B46" i="13"/>
  <c r="M46" i="13"/>
  <c r="H15" i="33"/>
  <c r="B13" i="32"/>
  <c r="F96" i="13"/>
  <c r="H21" i="13"/>
  <c r="G21" i="13"/>
  <c r="C71" i="13"/>
  <c r="C121" i="13"/>
  <c r="M71" i="13"/>
  <c r="H13" i="32"/>
  <c r="K80" i="33"/>
  <c r="J37" i="33"/>
  <c r="G71" i="13"/>
  <c r="C146" i="13"/>
  <c r="F46" i="13"/>
  <c r="F146" i="13"/>
  <c r="O71" i="13"/>
  <c r="J80" i="33"/>
  <c r="N21" i="13"/>
  <c r="C13" i="32"/>
  <c r="B71" i="13"/>
  <c r="O21" i="13"/>
  <c r="H37" i="33"/>
  <c r="C21" i="13"/>
  <c r="B146" i="13"/>
  <c r="D263" i="13" l="1"/>
  <c r="D318" i="13"/>
  <c r="P216" i="13"/>
  <c r="P58" i="37"/>
  <c r="J186" i="13"/>
  <c r="S60" i="37"/>
  <c r="P368" i="13"/>
  <c r="K111" i="13"/>
  <c r="P211" i="13"/>
  <c r="K211" i="13"/>
  <c r="J318" i="13"/>
  <c r="S13" i="37"/>
  <c r="B16" i="28"/>
  <c r="B13" i="5"/>
  <c r="B14" i="6"/>
  <c r="B35" i="6" s="1"/>
  <c r="B106" i="13"/>
  <c r="B15" i="37"/>
  <c r="B40" i="37" s="1"/>
  <c r="A58" i="33"/>
  <c r="A38" i="33"/>
  <c r="A81" i="33"/>
  <c r="E12" i="5"/>
  <c r="K12" i="5" s="1"/>
  <c r="O14" i="37"/>
  <c r="N14" i="37" s="1"/>
  <c r="K243" i="13"/>
  <c r="J191" i="13"/>
  <c r="D161" i="13"/>
  <c r="P288" i="13"/>
  <c r="P11" i="37"/>
  <c r="Q11" i="37" s="1"/>
  <c r="F9" i="5"/>
  <c r="J216" i="13"/>
  <c r="B6" i="13"/>
  <c r="A54" i="33"/>
  <c r="A77" i="33"/>
  <c r="B11" i="37"/>
  <c r="B36" i="37" s="1"/>
  <c r="A34" i="33"/>
  <c r="B10" i="6"/>
  <c r="B31" i="6" s="1"/>
  <c r="B9" i="5"/>
  <c r="B8" i="28"/>
  <c r="K288" i="13"/>
  <c r="S37" i="37"/>
  <c r="J161" i="13"/>
  <c r="S14" i="37"/>
  <c r="K263" i="13"/>
  <c r="D111" i="13"/>
  <c r="J368" i="13"/>
  <c r="K41" i="13"/>
  <c r="P238" i="13"/>
  <c r="P91" i="13"/>
  <c r="J61" i="13"/>
  <c r="S38" i="37"/>
  <c r="J41" i="13"/>
  <c r="K136" i="13"/>
  <c r="D136" i="13"/>
  <c r="J343" i="13"/>
  <c r="E13" i="5"/>
  <c r="O15" i="37"/>
  <c r="N15" i="37" s="1"/>
  <c r="K293" i="13"/>
  <c r="J211" i="13"/>
  <c r="J16" i="13"/>
  <c r="A78" i="33"/>
  <c r="A55" i="33"/>
  <c r="B12" i="37"/>
  <c r="B37" i="37" s="1"/>
  <c r="A35" i="33"/>
  <c r="B31" i="13"/>
  <c r="B11" i="6"/>
  <c r="B32" i="6" s="1"/>
  <c r="B10" i="28"/>
  <c r="B10" i="5"/>
  <c r="P191" i="13"/>
  <c r="K216" i="13"/>
  <c r="P16" i="37"/>
  <c r="F14" i="5"/>
  <c r="F10" i="5"/>
  <c r="R10" i="5" s="1"/>
  <c r="H10" i="5" s="1"/>
  <c r="P12" i="37"/>
  <c r="K36" i="13"/>
  <c r="O38" i="37"/>
  <c r="N38" i="37" s="1"/>
  <c r="D288" i="13"/>
  <c r="K343" i="13"/>
  <c r="F13" i="5"/>
  <c r="O13" i="5" s="1"/>
  <c r="P15" i="37"/>
  <c r="S12" i="37"/>
  <c r="P136" i="13"/>
  <c r="D41" i="13"/>
  <c r="J116" i="13"/>
  <c r="K61" i="13"/>
  <c r="D86" i="13"/>
  <c r="J11" i="32"/>
  <c r="O63" i="37"/>
  <c r="N63" i="37" s="1"/>
  <c r="D66" i="13"/>
  <c r="P36" i="13"/>
  <c r="K141" i="13"/>
  <c r="D313" i="13"/>
  <c r="P313" i="13"/>
  <c r="D293" i="13"/>
  <c r="O61" i="37"/>
  <c r="N61" i="37" s="1"/>
  <c r="K166" i="13"/>
  <c r="J363" i="13"/>
  <c r="P11" i="13"/>
  <c r="P41" i="13"/>
  <c r="S11" i="37"/>
  <c r="D186" i="13"/>
  <c r="K186" i="13"/>
  <c r="K338" i="13"/>
  <c r="E10" i="5"/>
  <c r="O12" i="37"/>
  <c r="N12" i="37" s="1"/>
  <c r="S61" i="37"/>
  <c r="O36" i="37"/>
  <c r="N36" i="37" s="1"/>
  <c r="P17" i="37"/>
  <c r="F15" i="5"/>
  <c r="O13" i="37"/>
  <c r="N13" i="37" s="1"/>
  <c r="E11" i="5"/>
  <c r="H11" i="5" s="1"/>
  <c r="J238" i="13"/>
  <c r="P14" i="37"/>
  <c r="F12" i="5"/>
  <c r="K11" i="13"/>
  <c r="D238" i="13"/>
  <c r="J293" i="13"/>
  <c r="P63" i="37"/>
  <c r="D141" i="13"/>
  <c r="O59" i="37"/>
  <c r="N59" i="37" s="1"/>
  <c r="D243" i="13"/>
  <c r="D368" i="13"/>
  <c r="D211" i="13"/>
  <c r="D91" i="13"/>
  <c r="K86" i="13"/>
  <c r="P243" i="13"/>
  <c r="P86" i="13"/>
  <c r="P343" i="13"/>
  <c r="J243" i="13"/>
  <c r="K116" i="13"/>
  <c r="O62" i="37"/>
  <c r="N62" i="37" s="1"/>
  <c r="J66" i="13"/>
  <c r="D268" i="13"/>
  <c r="K268" i="13"/>
  <c r="D191" i="13"/>
  <c r="J86" i="13"/>
  <c r="J288" i="13"/>
  <c r="S16" i="37"/>
  <c r="K66" i="13"/>
  <c r="K161" i="13"/>
  <c r="E14" i="5"/>
  <c r="O16" i="37"/>
  <c r="N16" i="37" s="1"/>
  <c r="P293" i="13"/>
  <c r="J338" i="13"/>
  <c r="B56" i="13"/>
  <c r="A36" i="33"/>
  <c r="B11" i="5"/>
  <c r="B12" i="28"/>
  <c r="A79" i="33"/>
  <c r="A56" i="33"/>
  <c r="B12" i="6"/>
  <c r="B33" i="6" s="1"/>
  <c r="B13" i="37"/>
  <c r="B60" i="37" s="1"/>
  <c r="K363" i="13"/>
  <c r="D338" i="13"/>
  <c r="J91" i="13"/>
  <c r="K91" i="13"/>
  <c r="D11" i="13"/>
  <c r="D216" i="13"/>
  <c r="P61" i="37"/>
  <c r="D166" i="13"/>
  <c r="P60" i="37"/>
  <c r="Q60" i="37" s="1"/>
  <c r="S59" i="37"/>
  <c r="P116" i="13"/>
  <c r="J11" i="13"/>
  <c r="P66" i="13"/>
  <c r="J268" i="13"/>
  <c r="P61" i="13"/>
  <c r="P141" i="13"/>
  <c r="P186" i="13"/>
  <c r="J12" i="32"/>
  <c r="D116" i="13"/>
  <c r="J10" i="32"/>
  <c r="J141" i="13"/>
  <c r="D16" i="13"/>
  <c r="E9" i="5"/>
  <c r="O11" i="37"/>
  <c r="N11" i="37" s="1"/>
  <c r="P62" i="37"/>
  <c r="P16" i="13"/>
  <c r="J9" i="32"/>
  <c r="S15" i="37"/>
  <c r="O60" i="37"/>
  <c r="N60" i="37" s="1"/>
  <c r="P363" i="13"/>
  <c r="J166" i="13"/>
  <c r="D343" i="13"/>
  <c r="J36" i="13"/>
  <c r="K238" i="13"/>
  <c r="O37" i="37"/>
  <c r="N37" i="37" s="1"/>
  <c r="K313" i="13"/>
  <c r="D36" i="13"/>
  <c r="P338" i="13"/>
  <c r="P111" i="13"/>
  <c r="P318" i="13"/>
  <c r="J313" i="13"/>
  <c r="P166" i="13"/>
  <c r="K368" i="13"/>
  <c r="P268" i="13"/>
  <c r="P59" i="37"/>
  <c r="J136" i="13"/>
  <c r="P263" i="13"/>
  <c r="S58" i="37"/>
  <c r="P161" i="13"/>
  <c r="B12" i="5"/>
  <c r="A37" i="33"/>
  <c r="A80" i="33"/>
  <c r="B81" i="13"/>
  <c r="A57" i="33"/>
  <c r="B13" i="6"/>
  <c r="B34" i="6" s="1"/>
  <c r="B14" i="37"/>
  <c r="B39" i="37" s="1"/>
  <c r="B14" i="28"/>
  <c r="J263" i="13"/>
  <c r="K16" i="13"/>
  <c r="F11" i="5"/>
  <c r="P13" i="37"/>
  <c r="Q13" i="37" s="1"/>
  <c r="J111" i="13"/>
  <c r="O58" i="37"/>
  <c r="N58" i="37" s="1"/>
  <c r="B131" i="13"/>
  <c r="B18" i="28"/>
  <c r="A82" i="33"/>
  <c r="B16" i="37"/>
  <c r="B63" i="37" s="1"/>
  <c r="A59" i="33"/>
  <c r="B14" i="5"/>
  <c r="A39" i="33"/>
  <c r="B15" i="6"/>
  <c r="B36" i="6" s="1"/>
  <c r="D363" i="13"/>
  <c r="K318" i="13"/>
  <c r="K191" i="13"/>
  <c r="S36" i="37"/>
  <c r="D61" i="13"/>
  <c r="J469" i="4"/>
  <c r="J286" i="4"/>
  <c r="J291" i="4" s="1"/>
  <c r="H51" i="13"/>
  <c r="G76" i="13"/>
  <c r="O15" i="5"/>
  <c r="J261" i="4"/>
  <c r="J441" i="4"/>
  <c r="C76" i="13"/>
  <c r="O12" i="5"/>
  <c r="S12" i="5"/>
  <c r="R12" i="5"/>
  <c r="H12" i="5" s="1"/>
  <c r="O14" i="5"/>
  <c r="S14" i="5"/>
  <c r="K14" i="5" s="1"/>
  <c r="R14" i="5"/>
  <c r="R9" i="5"/>
  <c r="H9" i="5" s="1"/>
  <c r="O11" i="5"/>
  <c r="S11" i="5"/>
  <c r="K11" i="5" s="1"/>
  <c r="S13" i="5"/>
  <c r="O10" i="5"/>
  <c r="S10" i="5"/>
  <c r="K10" i="5" s="1"/>
  <c r="K13" i="5"/>
  <c r="H101" i="13"/>
  <c r="N51" i="13"/>
  <c r="H76" i="13"/>
  <c r="G51" i="13"/>
  <c r="O51" i="13"/>
  <c r="M26" i="13"/>
  <c r="E10" i="8"/>
  <c r="F10" i="8" s="1"/>
  <c r="D71" i="13"/>
  <c r="B76" i="13"/>
  <c r="F126" i="13"/>
  <c r="H26" i="13"/>
  <c r="B101" i="13"/>
  <c r="G26" i="13"/>
  <c r="Q58" i="37"/>
  <c r="F101" i="13"/>
  <c r="J96" i="13"/>
  <c r="H126" i="13"/>
  <c r="J121" i="13"/>
  <c r="C126" i="13"/>
  <c r="Q61" i="37"/>
  <c r="D32" i="37"/>
  <c r="D54" i="37"/>
  <c r="B59" i="37"/>
  <c r="B126" i="13"/>
  <c r="D121" i="13"/>
  <c r="B51" i="13"/>
  <c r="F51" i="13"/>
  <c r="J46" i="13"/>
  <c r="J21" i="13"/>
  <c r="F26" i="13"/>
  <c r="D46" i="13"/>
  <c r="C51" i="13"/>
  <c r="D51" i="13" s="1"/>
  <c r="O26" i="13"/>
  <c r="B26" i="13"/>
  <c r="N26" i="13"/>
  <c r="P21" i="13"/>
  <c r="M51" i="13"/>
  <c r="P46" i="13"/>
  <c r="B38" i="37"/>
  <c r="B61" i="37"/>
  <c r="Q14" i="37"/>
  <c r="Q59" i="37"/>
  <c r="Q62" i="37"/>
  <c r="F76" i="13"/>
  <c r="J71" i="13"/>
  <c r="H151" i="13"/>
  <c r="J146" i="13"/>
  <c r="F151" i="13"/>
  <c r="C26" i="13"/>
  <c r="D21" i="13"/>
  <c r="C151" i="13"/>
  <c r="B151" i="13"/>
  <c r="D146" i="13"/>
  <c r="C176" i="13"/>
  <c r="N76" i="13"/>
  <c r="C101" i="13"/>
  <c r="D96" i="13"/>
  <c r="Q63" i="37"/>
  <c r="Q16" i="37"/>
  <c r="S39" i="37"/>
  <c r="B20" i="28"/>
  <c r="B17" i="37"/>
  <c r="B156" i="13"/>
  <c r="A60" i="33"/>
  <c r="A83" i="33"/>
  <c r="A40" i="33"/>
  <c r="B16" i="6"/>
  <c r="B37" i="6" s="1"/>
  <c r="B15" i="5"/>
  <c r="E15" i="5"/>
  <c r="O17" i="37"/>
  <c r="S62" i="37"/>
  <c r="O76" i="13"/>
  <c r="M76" i="13"/>
  <c r="P71" i="13"/>
  <c r="J13" i="32"/>
  <c r="O39" i="37"/>
  <c r="S17" i="37"/>
  <c r="P64" i="37"/>
  <c r="O64" i="37"/>
  <c r="F15" i="32"/>
  <c r="B62" i="33"/>
  <c r="B39" i="33"/>
  <c r="B17" i="33"/>
  <c r="B82" i="33"/>
  <c r="J471" i="4"/>
  <c r="J141" i="4"/>
  <c r="J201" i="4"/>
  <c r="J21" i="4"/>
  <c r="D20" i="4"/>
  <c r="D18" i="4"/>
  <c r="N21" i="4"/>
  <c r="M21" i="4"/>
  <c r="D19" i="4"/>
  <c r="L21" i="4"/>
  <c r="O21" i="4"/>
  <c r="D15" i="4"/>
  <c r="D16" i="4"/>
  <c r="E13" i="34"/>
  <c r="D9" i="34" s="1"/>
  <c r="D17" i="4"/>
  <c r="H38" i="33"/>
  <c r="K81" i="33"/>
  <c r="M96" i="13"/>
  <c r="H16" i="33"/>
  <c r="I61" i="33"/>
  <c r="I81" i="33"/>
  <c r="C14" i="32"/>
  <c r="N96" i="13"/>
  <c r="J61" i="33"/>
  <c r="H61" i="33"/>
  <c r="J38" i="33"/>
  <c r="B171" i="13"/>
  <c r="F171" i="13"/>
  <c r="D14" i="32"/>
  <c r="J81" i="33"/>
  <c r="G96" i="13"/>
  <c r="J16" i="33"/>
  <c r="E14" i="32"/>
  <c r="H171" i="13"/>
  <c r="B14" i="32"/>
  <c r="H14" i="32"/>
  <c r="O96" i="13"/>
  <c r="I16" i="33"/>
  <c r="G14" i="32"/>
  <c r="A16" i="33"/>
  <c r="B41" i="37" l="1"/>
  <c r="Q15" i="37"/>
  <c r="Q12" i="37"/>
  <c r="B62" i="37"/>
  <c r="J51" i="13"/>
  <c r="B58" i="37"/>
  <c r="R13" i="5"/>
  <c r="H13" i="5" s="1"/>
  <c r="N13" i="5" s="1"/>
  <c r="H14" i="5"/>
  <c r="J101" i="13"/>
  <c r="D76" i="13"/>
  <c r="N11" i="5"/>
  <c r="N10" i="5"/>
  <c r="N14" i="5"/>
  <c r="N12" i="5"/>
  <c r="P51" i="13"/>
  <c r="J76" i="13"/>
  <c r="P26" i="13"/>
  <c r="D101" i="13"/>
  <c r="J126" i="13"/>
  <c r="J26" i="13"/>
  <c r="D126" i="13"/>
  <c r="D26" i="13"/>
  <c r="D151" i="13"/>
  <c r="N101" i="13"/>
  <c r="B176" i="13"/>
  <c r="D176" i="13" s="1"/>
  <c r="D171" i="13"/>
  <c r="J151" i="13"/>
  <c r="G101" i="13"/>
  <c r="F176" i="13"/>
  <c r="J171" i="13"/>
  <c r="H176" i="13"/>
  <c r="P76" i="13"/>
  <c r="O101" i="13"/>
  <c r="P18" i="37"/>
  <c r="F16" i="5"/>
  <c r="O65" i="37"/>
  <c r="N65" i="37" s="1"/>
  <c r="O18" i="37"/>
  <c r="N18" i="37" s="1"/>
  <c r="E16" i="5"/>
  <c r="A41" i="33"/>
  <c r="B16" i="5"/>
  <c r="B17" i="6"/>
  <c r="B38" i="6" s="1"/>
  <c r="B181" i="13"/>
  <c r="B18" i="37"/>
  <c r="B22" i="28"/>
  <c r="A84" i="33"/>
  <c r="A61" i="33"/>
  <c r="O40" i="37"/>
  <c r="N40" i="37" s="1"/>
  <c r="P65" i="37"/>
  <c r="J14" i="32"/>
  <c r="M101" i="13"/>
  <c r="P101" i="13" s="1"/>
  <c r="P96" i="13"/>
  <c r="S18" i="37"/>
  <c r="S40" i="37"/>
  <c r="S63" i="37"/>
  <c r="B18" i="33"/>
  <c r="B83" i="33"/>
  <c r="B63" i="33"/>
  <c r="F16" i="32"/>
  <c r="N64" i="37"/>
  <c r="Q64" i="37"/>
  <c r="N15" i="5"/>
  <c r="B40" i="33"/>
  <c r="N39" i="37"/>
  <c r="N17" i="37"/>
  <c r="Q17" i="37"/>
  <c r="B64" i="37"/>
  <c r="B42" i="37"/>
  <c r="D8" i="34"/>
  <c r="D13" i="34"/>
  <c r="D10" i="34"/>
  <c r="D11" i="34"/>
  <c r="D7" i="34"/>
  <c r="D12" i="34"/>
  <c r="D21" i="4"/>
  <c r="H196" i="13"/>
  <c r="B15" i="32"/>
  <c r="J39" i="33"/>
  <c r="J17" i="33"/>
  <c r="G121" i="13"/>
  <c r="H62" i="33"/>
  <c r="B196" i="13"/>
  <c r="J82" i="33"/>
  <c r="E15" i="32"/>
  <c r="D15" i="32"/>
  <c r="I17" i="33"/>
  <c r="O121" i="13"/>
  <c r="H39" i="33"/>
  <c r="G15" i="32"/>
  <c r="K82" i="33"/>
  <c r="F196" i="13"/>
  <c r="N121" i="13"/>
  <c r="C15" i="32"/>
  <c r="A17" i="33"/>
  <c r="H15" i="32"/>
  <c r="I62" i="33"/>
  <c r="I39" i="33"/>
  <c r="M121" i="13"/>
  <c r="H17" i="33"/>
  <c r="J62" i="33"/>
  <c r="C196" i="13"/>
  <c r="I82" i="33"/>
  <c r="L16" i="5" l="1"/>
  <c r="O16" i="5" s="1"/>
  <c r="L9" i="5"/>
  <c r="R16" i="5"/>
  <c r="H16" i="5" s="1"/>
  <c r="H25" i="5" s="1"/>
  <c r="J176" i="13"/>
  <c r="G126" i="13"/>
  <c r="C201" i="13"/>
  <c r="F201" i="13"/>
  <c r="H201" i="13"/>
  <c r="J196" i="13"/>
  <c r="D196" i="13"/>
  <c r="B201" i="13"/>
  <c r="N126" i="13"/>
  <c r="Q65" i="37"/>
  <c r="O41" i="37"/>
  <c r="S64" i="37"/>
  <c r="S41" i="37"/>
  <c r="J15" i="32"/>
  <c r="O66" i="37"/>
  <c r="O19" i="37"/>
  <c r="E17" i="5"/>
  <c r="O126" i="13"/>
  <c r="P41" i="37"/>
  <c r="P66" i="37"/>
  <c r="P19" i="37"/>
  <c r="F17" i="5"/>
  <c r="O17" i="5" s="1"/>
  <c r="A42" i="33"/>
  <c r="B206" i="13"/>
  <c r="A85" i="33"/>
  <c r="B18" i="6"/>
  <c r="B39" i="6" s="1"/>
  <c r="B17" i="5"/>
  <c r="B24" i="28"/>
  <c r="B19" i="37"/>
  <c r="A62" i="33"/>
  <c r="S19" i="37"/>
  <c r="M126" i="13"/>
  <c r="P121" i="13"/>
  <c r="B84" i="33"/>
  <c r="B41" i="33"/>
  <c r="F17" i="32"/>
  <c r="B64" i="33"/>
  <c r="B19" i="33"/>
  <c r="B65" i="37"/>
  <c r="B43" i="37"/>
  <c r="Q18" i="37"/>
  <c r="B16" i="32"/>
  <c r="B221" i="13"/>
  <c r="C16" i="32"/>
  <c r="E16" i="32"/>
  <c r="H63" i="33"/>
  <c r="I83" i="33"/>
  <c r="J18" i="33"/>
  <c r="I40" i="33"/>
  <c r="H16" i="32"/>
  <c r="F221" i="13"/>
  <c r="I63" i="33"/>
  <c r="J40" i="33"/>
  <c r="K83" i="33"/>
  <c r="I146" i="13"/>
  <c r="G146" i="13"/>
  <c r="G16" i="32"/>
  <c r="J63" i="33"/>
  <c r="M146" i="13"/>
  <c r="D16" i="32"/>
  <c r="A18" i="33"/>
  <c r="C221" i="13"/>
  <c r="H221" i="13"/>
  <c r="H40" i="33"/>
  <c r="I18" i="33"/>
  <c r="O146" i="13"/>
  <c r="J83" i="33"/>
  <c r="H18" i="33"/>
  <c r="N146" i="13"/>
  <c r="L25" i="5" l="1"/>
  <c r="O9" i="5"/>
  <c r="S9" i="5"/>
  <c r="K9" i="5" s="1"/>
  <c r="N9" i="5" s="1"/>
  <c r="S16" i="5"/>
  <c r="K16" i="5" s="1"/>
  <c r="N16" i="5" s="1"/>
  <c r="O151" i="13"/>
  <c r="G151" i="13"/>
  <c r="I151" i="13"/>
  <c r="K146" i="13"/>
  <c r="P126" i="13"/>
  <c r="B226" i="13"/>
  <c r="D221" i="13"/>
  <c r="C226" i="13"/>
  <c r="H226" i="13"/>
  <c r="D201" i="13"/>
  <c r="J201" i="13"/>
  <c r="J221" i="13"/>
  <c r="F226" i="13"/>
  <c r="Q19" i="37"/>
  <c r="P20" i="37"/>
  <c r="F18" i="5"/>
  <c r="O18" i="5" s="1"/>
  <c r="P67" i="37"/>
  <c r="O42" i="37"/>
  <c r="N42" i="37" s="1"/>
  <c r="A43" i="33"/>
  <c r="A86" i="33"/>
  <c r="B26" i="28"/>
  <c r="B20" i="37"/>
  <c r="B18" i="5"/>
  <c r="B233" i="13"/>
  <c r="A63" i="33"/>
  <c r="B19" i="6"/>
  <c r="B40" i="6" s="1"/>
  <c r="E18" i="5"/>
  <c r="N18" i="5" s="1"/>
  <c r="O20" i="37"/>
  <c r="N20" i="37" s="1"/>
  <c r="O67" i="37"/>
  <c r="N67" i="37" s="1"/>
  <c r="J16" i="32"/>
  <c r="S42" i="37"/>
  <c r="N151" i="13"/>
  <c r="P146" i="13"/>
  <c r="M151" i="13"/>
  <c r="S20" i="37"/>
  <c r="S65" i="37"/>
  <c r="P42" i="37"/>
  <c r="F18" i="32"/>
  <c r="B85" i="33"/>
  <c r="B66" i="37"/>
  <c r="B44" i="37"/>
  <c r="N17" i="5"/>
  <c r="N66" i="37"/>
  <c r="B20" i="33"/>
  <c r="B65" i="33"/>
  <c r="B42" i="33"/>
  <c r="Q66" i="37"/>
  <c r="Q41" i="37"/>
  <c r="N19" i="37"/>
  <c r="N41" i="37"/>
  <c r="O171" i="13"/>
  <c r="C248" i="13"/>
  <c r="H64" i="33"/>
  <c r="F248" i="13"/>
  <c r="N171" i="13"/>
  <c r="I171" i="13"/>
  <c r="K84" i="33"/>
  <c r="J41" i="33"/>
  <c r="D17" i="32"/>
  <c r="C17" i="32"/>
  <c r="I19" i="33"/>
  <c r="E17" i="32"/>
  <c r="G17" i="32"/>
  <c r="J84" i="33"/>
  <c r="H41" i="33"/>
  <c r="I84" i="33"/>
  <c r="B248" i="13"/>
  <c r="A19" i="33"/>
  <c r="H19" i="33"/>
  <c r="J19" i="33"/>
  <c r="I64" i="33"/>
  <c r="H17" i="32"/>
  <c r="B17" i="32"/>
  <c r="G171" i="13"/>
  <c r="H248" i="13"/>
  <c r="I41" i="33"/>
  <c r="M171" i="13"/>
  <c r="J64" i="33"/>
  <c r="K25" i="5" l="1"/>
  <c r="D226" i="13"/>
  <c r="F253" i="13"/>
  <c r="K151" i="13"/>
  <c r="G176" i="13"/>
  <c r="H253" i="13"/>
  <c r="J248" i="13"/>
  <c r="J226" i="13"/>
  <c r="C253" i="13"/>
  <c r="K171" i="13"/>
  <c r="I176" i="13"/>
  <c r="D248" i="13"/>
  <c r="B253" i="13"/>
  <c r="N176" i="13"/>
  <c r="Q42" i="37"/>
  <c r="S43" i="37"/>
  <c r="P68" i="37"/>
  <c r="F19" i="5"/>
  <c r="P21" i="37"/>
  <c r="S21" i="37"/>
  <c r="O43" i="37"/>
  <c r="O68" i="37"/>
  <c r="A87" i="33"/>
  <c r="B19" i="5"/>
  <c r="B28" i="28"/>
  <c r="A44" i="33"/>
  <c r="B20" i="6"/>
  <c r="B41" i="6" s="1"/>
  <c r="B21" i="37"/>
  <c r="B258" i="13"/>
  <c r="A64" i="33"/>
  <c r="E19" i="5"/>
  <c r="O21" i="37"/>
  <c r="J17" i="32"/>
  <c r="P43" i="37"/>
  <c r="S66" i="37"/>
  <c r="O176" i="13"/>
  <c r="M176" i="13"/>
  <c r="P171" i="13"/>
  <c r="B43" i="33"/>
  <c r="B66" i="33"/>
  <c r="B86" i="33"/>
  <c r="F19" i="32"/>
  <c r="B45" i="37"/>
  <c r="B67" i="37"/>
  <c r="Q67" i="37"/>
  <c r="B21" i="33"/>
  <c r="Q20" i="37"/>
  <c r="P151" i="13"/>
  <c r="B273" i="13"/>
  <c r="H273" i="13"/>
  <c r="O196" i="13"/>
  <c r="I20" i="33"/>
  <c r="A20" i="33"/>
  <c r="H65" i="33"/>
  <c r="J85" i="33"/>
  <c r="N196" i="13"/>
  <c r="H18" i="32"/>
  <c r="I85" i="33"/>
  <c r="B18" i="32"/>
  <c r="I65" i="33"/>
  <c r="K85" i="33"/>
  <c r="G196" i="13"/>
  <c r="I196" i="13"/>
  <c r="I42" i="33"/>
  <c r="H42" i="33"/>
  <c r="J20" i="33"/>
  <c r="H20" i="33"/>
  <c r="G18" i="32"/>
  <c r="D18" i="32"/>
  <c r="F273" i="13"/>
  <c r="J65" i="33"/>
  <c r="E18" i="32"/>
  <c r="C18" i="32"/>
  <c r="J42" i="33"/>
  <c r="C273" i="13"/>
  <c r="M196" i="13"/>
  <c r="K176" i="13" l="1"/>
  <c r="J253" i="13"/>
  <c r="D253" i="13"/>
  <c r="G201" i="13"/>
  <c r="C278" i="13"/>
  <c r="F278" i="13"/>
  <c r="P176" i="13"/>
  <c r="K196" i="13"/>
  <c r="I201" i="13"/>
  <c r="H278" i="13"/>
  <c r="J273" i="13"/>
  <c r="D273" i="13"/>
  <c r="B278" i="13"/>
  <c r="O201" i="13"/>
  <c r="N201" i="13"/>
  <c r="B283" i="13"/>
  <c r="B20" i="5"/>
  <c r="B30" i="28"/>
  <c r="A88" i="33"/>
  <c r="B22" i="37"/>
  <c r="A45" i="33"/>
  <c r="B21" i="6"/>
  <c r="B42" i="6" s="1"/>
  <c r="A65" i="33"/>
  <c r="S44" i="37"/>
  <c r="F20" i="5"/>
  <c r="O20" i="5" s="1"/>
  <c r="P22" i="37"/>
  <c r="S22" i="37"/>
  <c r="J18" i="32"/>
  <c r="S67" i="37"/>
  <c r="P69" i="37"/>
  <c r="O44" i="37"/>
  <c r="N44" i="37" s="1"/>
  <c r="M201" i="13"/>
  <c r="P196" i="13"/>
  <c r="O22" i="37"/>
  <c r="N22" i="37" s="1"/>
  <c r="E20" i="5"/>
  <c r="N20" i="5" s="1"/>
  <c r="O69" i="37"/>
  <c r="N69" i="37" s="1"/>
  <c r="P44" i="37"/>
  <c r="Q44" i="37" s="1"/>
  <c r="F20" i="32"/>
  <c r="B22" i="33"/>
  <c r="B87" i="33"/>
  <c r="B44" i="33"/>
  <c r="Q43" i="37"/>
  <c r="N21" i="37"/>
  <c r="B46" i="37"/>
  <c r="B68" i="37"/>
  <c r="N68" i="37"/>
  <c r="Q68" i="37"/>
  <c r="Q21" i="37"/>
  <c r="B67" i="33"/>
  <c r="N19" i="5"/>
  <c r="N43" i="37"/>
  <c r="O19" i="5"/>
  <c r="K86" i="33"/>
  <c r="A21" i="33"/>
  <c r="I43" i="33"/>
  <c r="D19" i="32"/>
  <c r="J66" i="33"/>
  <c r="G221" i="13"/>
  <c r="H19" i="32"/>
  <c r="M221" i="13"/>
  <c r="N221" i="13"/>
  <c r="B298" i="13"/>
  <c r="I21" i="33"/>
  <c r="O221" i="13"/>
  <c r="J86" i="33"/>
  <c r="C298" i="13"/>
  <c r="J43" i="33"/>
  <c r="H43" i="33"/>
  <c r="I86" i="33"/>
  <c r="H21" i="33"/>
  <c r="E19" i="32"/>
  <c r="G19" i="32"/>
  <c r="F298" i="13"/>
  <c r="J21" i="33"/>
  <c r="I66" i="33"/>
  <c r="H298" i="13"/>
  <c r="C19" i="32"/>
  <c r="H66" i="33"/>
  <c r="B19" i="32"/>
  <c r="I221" i="13"/>
  <c r="J278" i="13" l="1"/>
  <c r="B303" i="13"/>
  <c r="H303" i="13"/>
  <c r="K201" i="13"/>
  <c r="P201" i="13"/>
  <c r="D278" i="13"/>
  <c r="G226" i="13"/>
  <c r="J298" i="13"/>
  <c r="F303" i="13"/>
  <c r="J303" i="13" s="1"/>
  <c r="C303" i="13"/>
  <c r="D298" i="13"/>
  <c r="K221" i="13"/>
  <c r="I226" i="13"/>
  <c r="N226" i="13"/>
  <c r="Q69" i="37"/>
  <c r="S68" i="37"/>
  <c r="F21" i="5"/>
  <c r="P23" i="37"/>
  <c r="P70" i="37"/>
  <c r="O45" i="37"/>
  <c r="S23" i="37"/>
  <c r="O23" i="37"/>
  <c r="E21" i="5"/>
  <c r="J19" i="32"/>
  <c r="O70" i="37"/>
  <c r="S45" i="37"/>
  <c r="P45" i="37"/>
  <c r="B21" i="5"/>
  <c r="B32" i="28"/>
  <c r="A66" i="33"/>
  <c r="A46" i="33"/>
  <c r="B22" i="6"/>
  <c r="B43" i="6" s="1"/>
  <c r="B308" i="13"/>
  <c r="A89" i="33"/>
  <c r="B23" i="37"/>
  <c r="O226" i="13"/>
  <c r="M226" i="13"/>
  <c r="P221" i="13"/>
  <c r="B68" i="33"/>
  <c r="B45" i="33"/>
  <c r="B88" i="33"/>
  <c r="F21" i="32"/>
  <c r="Q22" i="37"/>
  <c r="B23" i="33"/>
  <c r="B69" i="37"/>
  <c r="B47" i="37"/>
  <c r="O248" i="13"/>
  <c r="H44" i="33"/>
  <c r="H22" i="33"/>
  <c r="J44" i="33"/>
  <c r="G20" i="32"/>
  <c r="J87" i="33"/>
  <c r="H323" i="13"/>
  <c r="H20" i="32"/>
  <c r="N248" i="13"/>
  <c r="F323" i="13"/>
  <c r="B323" i="13"/>
  <c r="H67" i="33"/>
  <c r="I67" i="33"/>
  <c r="D20" i="32"/>
  <c r="I248" i="13"/>
  <c r="I22" i="33"/>
  <c r="E20" i="32"/>
  <c r="J67" i="33"/>
  <c r="C323" i="13"/>
  <c r="I44" i="33"/>
  <c r="A22" i="33"/>
  <c r="B20" i="32"/>
  <c r="K87" i="33"/>
  <c r="I87" i="33"/>
  <c r="J22" i="33"/>
  <c r="G248" i="13"/>
  <c r="M248" i="13"/>
  <c r="C20" i="32"/>
  <c r="D303" i="13" l="1"/>
  <c r="I253" i="13"/>
  <c r="K226" i="13"/>
  <c r="G253" i="13"/>
  <c r="K253" i="13" s="1"/>
  <c r="K248" i="13"/>
  <c r="H328" i="13"/>
  <c r="C328" i="13"/>
  <c r="D323" i="13"/>
  <c r="B328" i="13"/>
  <c r="J323" i="13"/>
  <c r="F328" i="13"/>
  <c r="P226" i="13"/>
  <c r="O253" i="13"/>
  <c r="M253" i="13"/>
  <c r="F22" i="5"/>
  <c r="O22" i="5" s="1"/>
  <c r="P24" i="37"/>
  <c r="J20" i="32"/>
  <c r="O46" i="37"/>
  <c r="N46" i="37" s="1"/>
  <c r="S24" i="37"/>
  <c r="P46" i="37"/>
  <c r="P71" i="37"/>
  <c r="O71" i="37"/>
  <c r="N71" i="37" s="1"/>
  <c r="B23" i="6"/>
  <c r="B44" i="6" s="1"/>
  <c r="A67" i="33"/>
  <c r="B22" i="5"/>
  <c r="A90" i="33"/>
  <c r="A47" i="33"/>
  <c r="B333" i="13"/>
  <c r="B24" i="37"/>
  <c r="B34" i="28"/>
  <c r="O24" i="37"/>
  <c r="N24" i="37" s="1"/>
  <c r="E22" i="5"/>
  <c r="N22" i="5" s="1"/>
  <c r="S46" i="37"/>
  <c r="S69" i="37"/>
  <c r="P248" i="13"/>
  <c r="N253" i="13"/>
  <c r="B89" i="33"/>
  <c r="B46" i="33"/>
  <c r="Q45" i="37"/>
  <c r="N70" i="37"/>
  <c r="N21" i="5"/>
  <c r="N45" i="37"/>
  <c r="Q23" i="37"/>
  <c r="F22" i="32"/>
  <c r="B70" i="37"/>
  <c r="B48" i="37"/>
  <c r="N23" i="37"/>
  <c r="Q70" i="37"/>
  <c r="O21" i="5"/>
  <c r="A23" i="33"/>
  <c r="M273" i="13"/>
  <c r="J23" i="33"/>
  <c r="J88" i="33"/>
  <c r="C348" i="13"/>
  <c r="E21" i="32"/>
  <c r="G273" i="13"/>
  <c r="J68" i="33"/>
  <c r="D21" i="32"/>
  <c r="H23" i="33"/>
  <c r="H68" i="33"/>
  <c r="H21" i="32"/>
  <c r="J45" i="33"/>
  <c r="N273" i="13"/>
  <c r="K88" i="33"/>
  <c r="I23" i="33"/>
  <c r="I273" i="13"/>
  <c r="F348" i="13"/>
  <c r="G21" i="32"/>
  <c r="B21" i="32"/>
  <c r="H45" i="33"/>
  <c r="B348" i="13"/>
  <c r="C21" i="32"/>
  <c r="H348" i="13"/>
  <c r="I88" i="33"/>
  <c r="I45" i="33"/>
  <c r="O273" i="13"/>
  <c r="I68" i="33"/>
  <c r="G278" i="13" l="1"/>
  <c r="H353" i="13"/>
  <c r="D328" i="13"/>
  <c r="J328" i="13"/>
  <c r="K273" i="13"/>
  <c r="I278" i="13"/>
  <c r="P253" i="13"/>
  <c r="C353" i="13"/>
  <c r="J348" i="13"/>
  <c r="F353" i="13"/>
  <c r="D348" i="13"/>
  <c r="B353" i="13"/>
  <c r="Q71" i="37"/>
  <c r="M278" i="13"/>
  <c r="Q46" i="37"/>
  <c r="J21" i="32"/>
  <c r="S47" i="37"/>
  <c r="S70" i="37"/>
  <c r="J69" i="33"/>
  <c r="S71" i="37" s="1"/>
  <c r="P72" i="37"/>
  <c r="I69" i="33"/>
  <c r="P47" i="37"/>
  <c r="O47" i="37"/>
  <c r="S25" i="37"/>
  <c r="S27" i="37" s="1"/>
  <c r="J25" i="33"/>
  <c r="O25" i="37"/>
  <c r="E23" i="5"/>
  <c r="H25" i="33"/>
  <c r="O72" i="37"/>
  <c r="H69" i="33"/>
  <c r="P25" i="37"/>
  <c r="P27" i="37" s="1"/>
  <c r="F23" i="5"/>
  <c r="I25" i="33"/>
  <c r="B25" i="37"/>
  <c r="B24" i="6"/>
  <c r="A68" i="33"/>
  <c r="B36" i="28"/>
  <c r="A48" i="33"/>
  <c r="B23" i="5"/>
  <c r="A91" i="33"/>
  <c r="B358" i="13"/>
  <c r="P273" i="13"/>
  <c r="N278" i="13"/>
  <c r="O278" i="13"/>
  <c r="B47" i="33"/>
  <c r="B90" i="33"/>
  <c r="Q24" i="37"/>
  <c r="F23" i="32"/>
  <c r="B71" i="37"/>
  <c r="B49" i="37"/>
  <c r="K89" i="33"/>
  <c r="B373" i="13"/>
  <c r="G22" i="32"/>
  <c r="C22" i="32"/>
  <c r="H373" i="13"/>
  <c r="D22" i="32"/>
  <c r="C373" i="13"/>
  <c r="I89" i="33"/>
  <c r="N298" i="13"/>
  <c r="J46" i="33"/>
  <c r="J89" i="33"/>
  <c r="B22" i="32"/>
  <c r="H46" i="33"/>
  <c r="F373" i="13"/>
  <c r="G298" i="13"/>
  <c r="E22" i="32"/>
  <c r="O298" i="13"/>
  <c r="I298" i="13"/>
  <c r="I46" i="33"/>
  <c r="M298" i="13"/>
  <c r="H22" i="32"/>
  <c r="J353" i="13" l="1"/>
  <c r="C378" i="13"/>
  <c r="D353" i="13"/>
  <c r="G303" i="13"/>
  <c r="K278" i="13"/>
  <c r="F378" i="13"/>
  <c r="B378" i="13"/>
  <c r="D373" i="13"/>
  <c r="J373" i="13"/>
  <c r="H378" i="13"/>
  <c r="K298" i="13"/>
  <c r="I303" i="13"/>
  <c r="P278" i="13"/>
  <c r="P298" i="13"/>
  <c r="N303" i="13"/>
  <c r="M303" i="13"/>
  <c r="O48" i="37"/>
  <c r="N48" i="37" s="1"/>
  <c r="O303" i="13"/>
  <c r="J22" i="32"/>
  <c r="S48" i="37"/>
  <c r="P48" i="37"/>
  <c r="B50" i="37"/>
  <c r="B72" i="37"/>
  <c r="Q72" i="37"/>
  <c r="P73" i="37"/>
  <c r="F24" i="32"/>
  <c r="B91" i="33"/>
  <c r="B48" i="33"/>
  <c r="N72" i="37"/>
  <c r="O73" i="37"/>
  <c r="N73" i="37" s="1"/>
  <c r="N23" i="5"/>
  <c r="E25" i="5"/>
  <c r="N47" i="37"/>
  <c r="Q25" i="37"/>
  <c r="S73" i="37"/>
  <c r="O23" i="5"/>
  <c r="F25" i="5"/>
  <c r="N25" i="37"/>
  <c r="O27" i="37"/>
  <c r="N27" i="37" s="1"/>
  <c r="Q47" i="37"/>
  <c r="G323" i="13"/>
  <c r="J90" i="33"/>
  <c r="H47" i="33"/>
  <c r="I323" i="13"/>
  <c r="N323" i="13"/>
  <c r="M323" i="13"/>
  <c r="H23" i="32"/>
  <c r="O323" i="13"/>
  <c r="G23" i="32"/>
  <c r="B23" i="32"/>
  <c r="I90" i="33"/>
  <c r="K90" i="33"/>
  <c r="D23" i="32"/>
  <c r="E23" i="32"/>
  <c r="C23" i="32"/>
  <c r="I47" i="33"/>
  <c r="J47" i="33"/>
  <c r="O25" i="5" l="1"/>
  <c r="N25" i="5"/>
  <c r="D378" i="13"/>
  <c r="K303" i="13"/>
  <c r="J378" i="13"/>
  <c r="G328" i="13"/>
  <c r="I328" i="13"/>
  <c r="K323" i="13"/>
  <c r="P303" i="13"/>
  <c r="N328" i="13"/>
  <c r="P323" i="13"/>
  <c r="M328" i="13"/>
  <c r="Q48" i="37"/>
  <c r="P49" i="37"/>
  <c r="O49" i="37"/>
  <c r="N49" i="37" s="1"/>
  <c r="J23" i="32"/>
  <c r="H25" i="32"/>
  <c r="O328" i="13"/>
  <c r="S49" i="37"/>
  <c r="G25" i="32"/>
  <c r="Q27" i="37"/>
  <c r="Q73" i="37"/>
  <c r="I48" i="33"/>
  <c r="O348" i="13"/>
  <c r="K91" i="33"/>
  <c r="I348" i="13"/>
  <c r="N348" i="13"/>
  <c r="H48" i="33"/>
  <c r="G348" i="13"/>
  <c r="J48" i="33"/>
  <c r="J91" i="33"/>
  <c r="M348" i="13"/>
  <c r="I91" i="33"/>
  <c r="G353" i="13" l="1"/>
  <c r="K328" i="13"/>
  <c r="K348" i="13"/>
  <c r="I353" i="13"/>
  <c r="P328" i="13"/>
  <c r="M353" i="13"/>
  <c r="P348" i="13"/>
  <c r="N353" i="13"/>
  <c r="Q49" i="37"/>
  <c r="K92" i="33"/>
  <c r="P50" i="37"/>
  <c r="O353" i="13"/>
  <c r="J92" i="33"/>
  <c r="I92" i="33"/>
  <c r="O50" i="37"/>
  <c r="H49" i="33"/>
  <c r="S50" i="37"/>
  <c r="S51" i="37" s="1"/>
  <c r="J49" i="33"/>
  <c r="J25" i="32"/>
  <c r="O373" i="13"/>
  <c r="G373" i="13"/>
  <c r="I373" i="13"/>
  <c r="N373" i="13"/>
  <c r="M373" i="13"/>
  <c r="K353" i="13" l="1"/>
  <c r="M378" i="13"/>
  <c r="P353" i="13"/>
  <c r="G378" i="13"/>
  <c r="K373" i="13"/>
  <c r="I378" i="13"/>
  <c r="O378" i="13"/>
  <c r="P373" i="13"/>
  <c r="N378" i="13"/>
  <c r="N50" i="37"/>
  <c r="O51" i="37"/>
  <c r="N51" i="37" s="1"/>
  <c r="Q50" i="37"/>
  <c r="K378" i="13" l="1"/>
  <c r="P378" i="13"/>
  <c r="I38" i="33"/>
  <c r="P40" i="37" l="1"/>
  <c r="Q40" i="37" s="1"/>
  <c r="D179" i="4"/>
  <c r="D118" i="4"/>
  <c r="I121" i="13"/>
  <c r="I36" i="33"/>
  <c r="P38" i="37" l="1"/>
  <c r="Q38" i="37" s="1"/>
  <c r="K121" i="13"/>
  <c r="I126" i="13"/>
  <c r="K126" i="13" s="1"/>
  <c r="D149" i="4"/>
  <c r="D58" i="4"/>
  <c r="I34" i="33"/>
  <c r="I71" i="13"/>
  <c r="I37" i="33"/>
  <c r="K71" i="13" l="1"/>
  <c r="I76" i="13"/>
  <c r="K76" i="13" s="1"/>
  <c r="P39" i="37"/>
  <c r="Q39" i="37" s="1"/>
  <c r="P36" i="37"/>
  <c r="D119" i="4"/>
  <c r="I35" i="33"/>
  <c r="I96" i="13"/>
  <c r="I21" i="13"/>
  <c r="K21" i="13" l="1"/>
  <c r="I26" i="13"/>
  <c r="K26" i="13" s="1"/>
  <c r="K96" i="13"/>
  <c r="I101" i="13"/>
  <c r="K101" i="13" s="1"/>
  <c r="P37" i="37"/>
  <c r="Q37" i="37" s="1"/>
  <c r="I49" i="33"/>
  <c r="P51" i="37"/>
  <c r="Q51" i="37" s="1"/>
  <c r="Q36" i="37"/>
  <c r="D28" i="4"/>
  <c r="I46" i="13"/>
  <c r="I51" i="13" l="1"/>
  <c r="K51" i="13" s="1"/>
  <c r="K46" i="13"/>
  <c r="D89" i="4"/>
  <c r="D59" i="4" l="1"/>
</calcChain>
</file>

<file path=xl/comments1.xml><?xml version="1.0" encoding="utf-8"?>
<comments xmlns="http://schemas.openxmlformats.org/spreadsheetml/2006/main">
  <authors>
    <author>Breshears, Bruce</author>
  </authors>
  <commentList>
    <comment ref="E34" authorId="0">
      <text>
        <r>
          <rPr>
            <b/>
            <sz val="8"/>
            <color indexed="81"/>
            <rFont val="Tahoma"/>
            <family val="2"/>
          </rPr>
          <t>Source:</t>
        </r>
        <r>
          <rPr>
            <sz val="8"/>
            <color indexed="81"/>
            <rFont val="Tahoma"/>
            <family val="2"/>
          </rPr>
          <t xml:space="preserve">
Annual kWh - per 2009 Quick Start Annual Report.
Avg Life = 10 Yrs - per initial analysis of th quick start program by OG&amp;E Product development (Mike G).
All programs 10 year life (except) CFL 7 Yr , Motor 15 Yr.</t>
        </r>
      </text>
    </comment>
  </commentList>
</comments>
</file>

<file path=xl/sharedStrings.xml><?xml version="1.0" encoding="utf-8"?>
<sst xmlns="http://schemas.openxmlformats.org/spreadsheetml/2006/main" count="2819" uniqueCount="421">
  <si>
    <t>Program Name</t>
  </si>
  <si>
    <t>Program Type</t>
  </si>
  <si>
    <t>Market</t>
  </si>
  <si>
    <t>Program Number</t>
  </si>
  <si>
    <t>Program Cost Summary</t>
  </si>
  <si>
    <t>Type</t>
  </si>
  <si>
    <t xml:space="preserve">Total </t>
  </si>
  <si>
    <t>% of</t>
  </si>
  <si>
    <t>%</t>
  </si>
  <si>
    <t>Utility</t>
  </si>
  <si>
    <t>Affiliate</t>
  </si>
  <si>
    <t>3rd Party</t>
  </si>
  <si>
    <t>Budget</t>
  </si>
  <si>
    <t>Spending</t>
  </si>
  <si>
    <t>Incentives / Rebates</t>
  </si>
  <si>
    <t>Evaluation, Measurement, and Verification</t>
  </si>
  <si>
    <t xml:space="preserve">Regulatory </t>
  </si>
  <si>
    <t>Administration</t>
  </si>
  <si>
    <t>Total Budget</t>
  </si>
  <si>
    <t>Program Energy Savings Summary</t>
  </si>
  <si>
    <t>Savings Goal</t>
  </si>
  <si>
    <t>Savings Achieved</t>
  </si>
  <si>
    <t>Annual TRC Savings ($000's)</t>
  </si>
  <si>
    <t>BUDGET</t>
  </si>
  <si>
    <t>Actual</t>
  </si>
  <si>
    <t>% Of</t>
  </si>
  <si>
    <t>Program</t>
  </si>
  <si>
    <t>Prior Year</t>
  </si>
  <si>
    <t>$</t>
  </si>
  <si>
    <t>Goal</t>
  </si>
  <si>
    <t>Total</t>
  </si>
  <si>
    <t>DEMAND</t>
  </si>
  <si>
    <t>kW</t>
  </si>
  <si>
    <t>kWh</t>
  </si>
  <si>
    <t>Energy Savings</t>
  </si>
  <si>
    <t>Program Year</t>
  </si>
  <si>
    <t xml:space="preserve">Utility </t>
  </si>
  <si>
    <t>Docket</t>
  </si>
  <si>
    <t>Date Filed</t>
  </si>
  <si>
    <t>Start Date of Program Year</t>
  </si>
  <si>
    <t>Utility Contact:</t>
  </si>
  <si>
    <t>Cost-Effectiveness Test</t>
  </si>
  <si>
    <t>Ratio</t>
  </si>
  <si>
    <t>Revenue and Expense</t>
  </si>
  <si>
    <t>Energy</t>
  </si>
  <si>
    <t>Budgeted</t>
  </si>
  <si>
    <t>Actuals</t>
  </si>
  <si>
    <t>($000's)</t>
  </si>
  <si>
    <t>Savings as % of Energy Sales</t>
  </si>
  <si>
    <t>Total Revenue</t>
  </si>
  <si>
    <t>EE Program Spending</t>
  </si>
  <si>
    <t>Total Annual Energy Sales</t>
  </si>
  <si>
    <t>PARTICIPATION</t>
  </si>
  <si>
    <t>Targeted</t>
  </si>
  <si>
    <t>N/A</t>
  </si>
  <si>
    <t>Public Education</t>
  </si>
  <si>
    <t>Energy Audit or Evaluation</t>
  </si>
  <si>
    <t>HVAC Inspection or Tune-up</t>
  </si>
  <si>
    <t>Weatherization</t>
  </si>
  <si>
    <t>Rebates- Point of Sale or Mail-in</t>
  </si>
  <si>
    <t>Trade Ally Incentive</t>
  </si>
  <si>
    <t>New Construction- Technical Assistance Only</t>
  </si>
  <si>
    <t>New Construction- Incentives</t>
  </si>
  <si>
    <t>Renovation- Technical Assistance Only</t>
  </si>
  <si>
    <t>Renovation- Incentives</t>
  </si>
  <si>
    <t>Transmission Customers</t>
  </si>
  <si>
    <t>Industrial Vertical Segment</t>
  </si>
  <si>
    <t>Other</t>
  </si>
  <si>
    <t>AMI</t>
  </si>
  <si>
    <t>Demand Response</t>
  </si>
  <si>
    <t>Number of Participants</t>
  </si>
  <si>
    <t>Funds</t>
  </si>
  <si>
    <t>Used</t>
  </si>
  <si>
    <t>Number</t>
  </si>
  <si>
    <t>Name</t>
  </si>
  <si>
    <t>Actual Savings</t>
  </si>
  <si>
    <t>Annual</t>
  </si>
  <si>
    <t>Budgeted Savings</t>
  </si>
  <si>
    <t>% Of Goal</t>
  </si>
  <si>
    <t>Expenses</t>
  </si>
  <si>
    <t>3 Year Program Average</t>
  </si>
  <si>
    <t>Participant</t>
  </si>
  <si>
    <t>Full Program Name:</t>
  </si>
  <si>
    <t>Wait List</t>
  </si>
  <si>
    <t>Training</t>
  </si>
  <si>
    <t xml:space="preserve">Program </t>
  </si>
  <si>
    <t>Process</t>
  </si>
  <si>
    <t>Challenges</t>
  </si>
  <si>
    <t>Enhancements</t>
  </si>
  <si>
    <t>Evaluations</t>
  </si>
  <si>
    <t>Market Assessment</t>
  </si>
  <si>
    <t>Present</t>
  </si>
  <si>
    <t>Future</t>
  </si>
  <si>
    <t>Maturity</t>
  </si>
  <si>
    <t>Comprehensive Program</t>
  </si>
  <si>
    <t>10-Year Outlook</t>
  </si>
  <si>
    <t>Participants</t>
  </si>
  <si>
    <t>Program Costs</t>
  </si>
  <si>
    <t>Lost Revenue</t>
  </si>
  <si>
    <t>Totals</t>
  </si>
  <si>
    <t>Challenges &amp; Opportunities</t>
  </si>
  <si>
    <t>% of EE Spending to Revenue</t>
  </si>
  <si>
    <t>Table of Contents</t>
  </si>
  <si>
    <t>A1</t>
  </si>
  <si>
    <t>Tab Index</t>
  </si>
  <si>
    <t>Color</t>
  </si>
  <si>
    <t>Brief Description</t>
  </si>
  <si>
    <t>Report Title</t>
  </si>
  <si>
    <t>Participation</t>
  </si>
  <si>
    <t>Company Statistics</t>
  </si>
  <si>
    <t>Market Maturity</t>
  </si>
  <si>
    <t>Blue</t>
  </si>
  <si>
    <t>History Input</t>
  </si>
  <si>
    <t>Green</t>
  </si>
  <si>
    <t>Gray</t>
  </si>
  <si>
    <t>Program Cost</t>
  </si>
  <si>
    <t>Program Savings (Energy &amp; Demand)</t>
  </si>
  <si>
    <t>Portfolio Impact</t>
  </si>
  <si>
    <t>A2</t>
  </si>
  <si>
    <t>COST BENEFIT</t>
  </si>
  <si>
    <t>Cost Benefit</t>
  </si>
  <si>
    <t>B1</t>
  </si>
  <si>
    <t>B2</t>
  </si>
  <si>
    <t>C1</t>
  </si>
  <si>
    <t>C2</t>
  </si>
  <si>
    <t>Template Section</t>
  </si>
  <si>
    <t>This information represents bench marks commonly used on a national level for ranking relative performance of EE programs.</t>
  </si>
  <si>
    <t>The number and type of technical trainings conducted and the number of customer attendees.</t>
  </si>
  <si>
    <t>A description of program challenges and plans for program enhancements, including an indication of whether process evaluations have been conducted and the results of such evaluations.</t>
  </si>
  <si>
    <t>A description of the state of market maturity in each customer sector and specific training goals to address that issue.</t>
  </si>
  <si>
    <t>Flow Chart of Data</t>
  </si>
  <si>
    <t>Flow In From</t>
  </si>
  <si>
    <t>Flow Out To</t>
  </si>
  <si>
    <t>= Input Tab</t>
  </si>
  <si>
    <t>= Narrative Report Tables</t>
  </si>
  <si>
    <t>= Input Tab &amp; Narrative Report Tables</t>
  </si>
  <si>
    <t>C3</t>
  </si>
  <si>
    <t>C4</t>
  </si>
  <si>
    <t>D1</t>
  </si>
  <si>
    <t>Program Budget, Energy Savings &amp; Participation</t>
  </si>
  <si>
    <t>Provide results of the four (4) required California tests.</t>
  </si>
  <si>
    <t>A breakdown of budget and actual expense by program.  Plus a breakdown of energy and demand savings by program and end use.</t>
  </si>
  <si>
    <t>A summary of budget, actual expense, energy/demand savings, and total customer participants by program and a report on number of participants on waiting lists.</t>
  </si>
  <si>
    <t>High level overview of programs for the Program Year.</t>
  </si>
  <si>
    <t>2010 Annual Budget</t>
  </si>
  <si>
    <t>2010 Actual Expenses</t>
  </si>
  <si>
    <t>2010 % of Budget Achieved</t>
  </si>
  <si>
    <t>2011 Annual Budget</t>
  </si>
  <si>
    <t>2010 Program Year</t>
  </si>
  <si>
    <t>Energy Efficiency Portfolio</t>
  </si>
  <si>
    <t>Individual EE program detail input tab.</t>
  </si>
  <si>
    <t>Used to input prior two years of program details.</t>
  </si>
  <si>
    <t>ENERGY</t>
  </si>
  <si>
    <t>Prescriptive- Commercial or Industrial</t>
  </si>
  <si>
    <t>Total Cost</t>
  </si>
  <si>
    <t>Base Rate Cost</t>
  </si>
  <si>
    <t>EECR Cost</t>
  </si>
  <si>
    <t>Difference</t>
  </si>
  <si>
    <t>Res (All)</t>
  </si>
  <si>
    <t>Res (Single-Family)</t>
  </si>
  <si>
    <t>Res (Multi-family)</t>
  </si>
  <si>
    <t>Res (Manufactured Housing)</t>
  </si>
  <si>
    <t>Small C&amp;I (All)</t>
  </si>
  <si>
    <t>Small C&amp;I (Rental)</t>
  </si>
  <si>
    <t>Small C&amp;I (Institutional)</t>
  </si>
  <si>
    <t>Large C&amp;I (All)</t>
  </si>
  <si>
    <t>Large C&amp;I (Rental)</t>
  </si>
  <si>
    <t>Large C&amp;I (Institutional)</t>
  </si>
  <si>
    <t>C&amp;I Agriculture</t>
  </si>
  <si>
    <t>C&amp;I Restaurants</t>
  </si>
  <si>
    <t xml:space="preserve">Financing </t>
  </si>
  <si>
    <t>Small Business</t>
  </si>
  <si>
    <t>Market Transformation</t>
  </si>
  <si>
    <t>Participant Cost Test</t>
  </si>
  <si>
    <t>(PCT)</t>
  </si>
  <si>
    <t>(RIM)</t>
  </si>
  <si>
    <t>(TRC)</t>
  </si>
  <si>
    <t>Ratepayer Impact Measure</t>
  </si>
  <si>
    <t>Total Resource Cost</t>
  </si>
  <si>
    <t>Marketing &amp; Delivery</t>
  </si>
  <si>
    <t>EE Program Cost Summary</t>
  </si>
  <si>
    <t>Home Energy Comparison Reporting</t>
  </si>
  <si>
    <t>Technical Training</t>
  </si>
  <si>
    <t>HVAC</t>
  </si>
  <si>
    <t>Appliances</t>
  </si>
  <si>
    <t>Motors, Pumps</t>
  </si>
  <si>
    <t>= Other</t>
  </si>
  <si>
    <t>A summary of all program cost by program cost type.</t>
  </si>
  <si>
    <t>A summary of EE programs by name, number, program type, market type, and program year cost.</t>
  </si>
  <si>
    <t>-</t>
  </si>
  <si>
    <t>B3</t>
  </si>
  <si>
    <t>Blue-Green</t>
  </si>
  <si>
    <t>A2, C1, &amp; C2</t>
  </si>
  <si>
    <r>
      <t>NPV</t>
    </r>
    <r>
      <rPr>
        <b/>
        <sz val="9"/>
        <rFont val="Times New Roman"/>
        <family val="1"/>
      </rPr>
      <t xml:space="preserve"> ($000's)</t>
    </r>
  </si>
  <si>
    <r>
      <t xml:space="preserve">NPV </t>
    </r>
    <r>
      <rPr>
        <b/>
        <sz val="9"/>
        <rFont val="Times New Roman"/>
        <family val="1"/>
      </rPr>
      <t>($000's)</t>
    </r>
  </si>
  <si>
    <t>($)</t>
  </si>
  <si>
    <t>Demand</t>
  </si>
  <si>
    <t>Utility Type</t>
  </si>
  <si>
    <t>Electric</t>
  </si>
  <si>
    <t>Gas</t>
  </si>
  <si>
    <t>Therms</t>
  </si>
  <si>
    <t>E1</t>
  </si>
  <si>
    <t>D2</t>
  </si>
  <si>
    <t>D3</t>
  </si>
  <si>
    <t>Light Green</t>
  </si>
  <si>
    <t>Program 9</t>
  </si>
  <si>
    <t>Program 10</t>
  </si>
  <si>
    <t>Program 11</t>
  </si>
  <si>
    <t>Program 12</t>
  </si>
  <si>
    <t>Program 13</t>
  </si>
  <si>
    <t>Program 14</t>
  </si>
  <si>
    <t>Program 15</t>
  </si>
  <si>
    <t>EE Staffing (FTE's)</t>
  </si>
  <si>
    <t>Explanation for Difference(s):</t>
  </si>
  <si>
    <t>Levelized</t>
  </si>
  <si>
    <t>Cost</t>
  </si>
  <si>
    <t>B2, C3, C4, &amp; E1</t>
  </si>
  <si>
    <t>Program Portfolio Cost Summary</t>
  </si>
  <si>
    <t>Program Portfolio Energy Savings Summary</t>
  </si>
  <si>
    <t>EE Annualized Energy*  Savings</t>
  </si>
  <si>
    <t>To Be Determined</t>
  </si>
  <si>
    <t>Energy*</t>
  </si>
  <si>
    <t>EE Portfolio Total</t>
  </si>
  <si>
    <t>Demand*</t>
  </si>
  <si>
    <t>D4</t>
  </si>
  <si>
    <t>Standard Offer</t>
  </si>
  <si>
    <t>School</t>
  </si>
  <si>
    <t>Municipalities</t>
  </si>
  <si>
    <t>Benchmarking</t>
  </si>
  <si>
    <t>Whole-House</t>
  </si>
  <si>
    <t>Lifetime Energy Savings</t>
  </si>
  <si>
    <t>Lifetime Demand Savings</t>
  </si>
  <si>
    <t>*Lifetime Savings</t>
  </si>
  <si>
    <t>Custom and Bundled</t>
  </si>
  <si>
    <t>Lighting</t>
  </si>
  <si>
    <t>EE Portfolio Summary by Program</t>
  </si>
  <si>
    <t>EE Portfolio Summary by Cost Type</t>
  </si>
  <si>
    <t>EECR Reconciliation</t>
  </si>
  <si>
    <t>*Annualized Energy - this is the annualized energy savings derived from the lifetime savings.</t>
  </si>
  <si>
    <t>EECR Reconciliation Table</t>
  </si>
  <si>
    <t>A summary of lost contributions to fixed costs associated with each program. [Reserved for future use.]</t>
  </si>
  <si>
    <t>Planning / Design</t>
  </si>
  <si>
    <t>Level of Adoption of NAPEE "Best Practices" (Issue #8)</t>
  </si>
  <si>
    <t>FTEs</t>
  </si>
  <si>
    <t>FTEs / $1M of EE Spending</t>
  </si>
  <si>
    <t>1a.</t>
  </si>
  <si>
    <t>1b.</t>
  </si>
  <si>
    <t>1c.</t>
  </si>
  <si>
    <t>2a.</t>
  </si>
  <si>
    <t>2b.</t>
  </si>
  <si>
    <t>3a.</t>
  </si>
  <si>
    <t>As % of Total Program Spending</t>
  </si>
  <si>
    <t>Item #</t>
  </si>
  <si>
    <t>Program Staffing and Training Recommendations;</t>
  </si>
  <si>
    <t>DSM Program Design &amp; Implementation;</t>
  </si>
  <si>
    <t>DSM Program Evaluation;</t>
  </si>
  <si>
    <t>Estimation of DSM Resource Potential;</t>
  </si>
  <si>
    <t>Shareholder Incentives for Program Performance;</t>
  </si>
  <si>
    <t>Resource Planning with Energy Efficiency;</t>
  </si>
  <si>
    <t>Customer Incentives for Energy Efficiency Through Electric and Natural Gas Rate Design;</t>
  </si>
  <si>
    <t>EXTERNAL TRAINING (contractors, trade allies, consumer groups, etc.)</t>
  </si>
  <si>
    <t># of Certificiates Awarded</t>
  </si>
  <si>
    <t>Training Session Man-hours</t>
  </si>
  <si>
    <t>Date</t>
  </si>
  <si>
    <t>Class</t>
  </si>
  <si>
    <t>Sponsor</t>
  </si>
  <si>
    <t>Class Description</t>
  </si>
  <si>
    <t>Training Location</t>
  </si>
  <si>
    <t>Event No.</t>
  </si>
  <si>
    <t>Totals:</t>
  </si>
  <si>
    <t>Sessions:</t>
  </si>
  <si>
    <t>INTERNAL TRAINING (Utility or Administrator Staff)</t>
  </si>
  <si>
    <t>Training Sessions Attended</t>
  </si>
  <si>
    <t>A summary of information to aid in assessing the "level of adoption" of NAPEE "Best Practices".</t>
  </si>
  <si>
    <t>Utility Best Practices Guidance for Providing Business Customers with Energy Use and Cost Data;</t>
  </si>
  <si>
    <t>No. of Attendees
(A)</t>
  </si>
  <si>
    <t>Length of Session
(B)</t>
  </si>
  <si>
    <t>Training Session
Man-hours
(A x B)</t>
  </si>
  <si>
    <t>Any
Certificates Awarded?
(Y or N)</t>
  </si>
  <si>
    <t>EE Total Program Spending
(A)</t>
  </si>
  <si>
    <t>Planning &amp; Design
(B)</t>
  </si>
  <si>
    <t>EM&amp;V
(D)</t>
  </si>
  <si>
    <t>Implement-
ation 
(C)
(C=A-B-D)</t>
  </si>
  <si>
    <t xml:space="preserve">Index to Docket No. 10-010-U Issue #8 Items </t>
  </si>
  <si>
    <t>Description</t>
  </si>
  <si>
    <t>Where Available?</t>
  </si>
  <si>
    <t>Tab D4</t>
  </si>
  <si>
    <t>Narrative Section 5.8</t>
  </si>
  <si>
    <t>Narrative Section 5.9</t>
  </si>
  <si>
    <t>Tab B1 &amp; Narrative Section 5.8</t>
  </si>
  <si>
    <t>NOTE:  This schedule should report program year data, when available.  This schedule should not report forecasted data.</t>
  </si>
  <si>
    <t>NOTE:  This schedule should report program year data, when available. For budgeted data, report when filed.  This schedule should not report forecasted data.</t>
  </si>
  <si>
    <t>Budgeted data should be reported if known and filed with the Commission.</t>
  </si>
  <si>
    <t>Gary Marchbanks</t>
  </si>
  <si>
    <t>Arkansas Comprehensive Energy Efficiency Program Living Wise Program</t>
  </si>
  <si>
    <t xml:space="preserve">Arkansas Comprehensive Energy Efficiency Program Weatherization </t>
  </si>
  <si>
    <t xml:space="preserve">Arkansas Comprehensive Energy Efficiency Program - Customer Energy Report </t>
  </si>
  <si>
    <t xml:space="preserve">Arkansas Comprehensive Energy Efficiency Program  - Commercial lighting </t>
  </si>
  <si>
    <t>Arkansas Comprehensive Energy Efficiency Program - Commercial Motors</t>
  </si>
  <si>
    <t>Arkansas Comprehensive Energy Efficiency Program - Education Cooperation</t>
  </si>
  <si>
    <t>Lead Generation</t>
  </si>
  <si>
    <t>How / What to capture for Weatherization leads</t>
  </si>
  <si>
    <t xml:space="preserve">Community Clearinghouse </t>
  </si>
  <si>
    <t>OG&amp;E</t>
  </si>
  <si>
    <t>N</t>
  </si>
  <si>
    <t>Weatherization Techniques</t>
  </si>
  <si>
    <t>How to Safely Weatherize</t>
  </si>
  <si>
    <t>Enertrek</t>
  </si>
  <si>
    <t>Capturing KW/KWH on software</t>
  </si>
  <si>
    <t>OG&amp;E Ft Smith</t>
  </si>
  <si>
    <t>Frontier Associates</t>
  </si>
  <si>
    <t xml:space="preserve">Lead Certification </t>
  </si>
  <si>
    <t>Lead Safety for Renovation</t>
  </si>
  <si>
    <t>City Office</t>
  </si>
  <si>
    <t>City of Fort Smith</t>
  </si>
  <si>
    <t>y</t>
  </si>
  <si>
    <t xml:space="preserve">Weatherization </t>
  </si>
  <si>
    <t>Program Requirements</t>
  </si>
  <si>
    <t>Senior Citizen Building</t>
  </si>
  <si>
    <t xml:space="preserve">Capturing KW/KWH on Software </t>
  </si>
  <si>
    <t>Lavaca Senior Citizen Building</t>
  </si>
  <si>
    <t>Weatherization/ Education</t>
  </si>
  <si>
    <t>How to Save Energy</t>
  </si>
  <si>
    <t>Carnall Elementary</t>
  </si>
  <si>
    <t>Updates on Techniques</t>
  </si>
  <si>
    <t>Weatherization Program</t>
  </si>
  <si>
    <t>Update on OG&amp;E programs</t>
  </si>
  <si>
    <t>Fianna Hills CC</t>
  </si>
  <si>
    <t>12/6-8/2010</t>
  </si>
  <si>
    <t>First Aid</t>
  </si>
  <si>
    <t>First Aid on the Job</t>
  </si>
  <si>
    <t>Infrared Camera Training</t>
  </si>
  <si>
    <t>learning how to use IR</t>
  </si>
  <si>
    <t>Tech Center</t>
  </si>
  <si>
    <t xml:space="preserve">BPI </t>
  </si>
  <si>
    <t>BPI Certification for Auditors</t>
  </si>
  <si>
    <t>Various</t>
  </si>
  <si>
    <t>Arkansas Energy Office</t>
  </si>
  <si>
    <t>Benefits to Alternate Energy</t>
  </si>
  <si>
    <t>Bismarck State College</t>
  </si>
  <si>
    <t>Y</t>
  </si>
  <si>
    <t>None</t>
  </si>
  <si>
    <t xml:space="preserve">Teacher acceptance and usage on a timely basis </t>
  </si>
  <si>
    <t xml:space="preserve">Meeting with each contractor / distributor on rebate opportunities. </t>
  </si>
  <si>
    <t xml:space="preserve">  Industrial budgets and economic downturns.</t>
  </si>
  <si>
    <t>Changing program to incentive of $5.00 per horsepower on 10-100 horsepower.</t>
  </si>
  <si>
    <t>Focus and enhanced education to contractors.</t>
  </si>
  <si>
    <t>Blower Door Testing to Establish CFM reduction on all homes</t>
  </si>
  <si>
    <t>Closed CFL option on April 8,2009</t>
  </si>
  <si>
    <t xml:space="preserve">Yes. 10% of the homes weatherized under this program received a post inspection. </t>
  </si>
  <si>
    <t>No</t>
  </si>
  <si>
    <t>The focus on Education is continual. There needs to be a constant marketing presence educating the Consumer.</t>
  </si>
  <si>
    <t>A saturation level will never be achieved. The market will continue to produce new home owners and energy users each year, all having the need to learn more about Energy Efficiency.</t>
  </si>
  <si>
    <t>LivingWise®</t>
  </si>
  <si>
    <t>The LivingWise Program can be expanded to reach an additional 1,840 students each year, capturing 80%.</t>
  </si>
  <si>
    <t>A saturation level will never be achieved. The market will continue to produce new new students each year, all having the need to learn more about Energy Efficiency.</t>
  </si>
  <si>
    <t>Custom Energy Report</t>
  </si>
  <si>
    <t>Commercial Lighting</t>
  </si>
  <si>
    <t xml:space="preserve">A saturation level will never be achieved in the Commercial Lighting.  New and innovative lighting controls, appliances and fixtures are continually being improved to help lower utility cost and increase building efficiency. </t>
  </si>
  <si>
    <t>Motor Replacement</t>
  </si>
  <si>
    <t>Customer must have access to the internet.</t>
  </si>
  <si>
    <t>Misapplied Inputs.</t>
  </si>
  <si>
    <t>Renewable Energy Sources and the Smart Grid</t>
  </si>
  <si>
    <t>The LivingWise Program reaches 1,199 students each year. This accounts for 59% of the 6th Graders in the Fort Smith Service Territory.</t>
  </si>
  <si>
    <t xml:space="preserve">The commercial lighting program has reached .002% of 9300 consumers in the Fort Smith Market.  We had a total of  23 customers utilize the incentives offered for lighting.  </t>
  </si>
  <si>
    <t>OG&amp;E had a low impact in the  motor market with only 21 motors being installed.  We continued to provide assistance to Industrial consumers through lunch and learn seminars and informational meetings.  OG&amp;E continued to call on individual Manufactures and Distributors for program awareness.</t>
  </si>
  <si>
    <t>CER</t>
  </si>
  <si>
    <t>Living Wise</t>
  </si>
  <si>
    <t>Commercial Motors</t>
  </si>
  <si>
    <t>CFL's (Quick Start ONLY)</t>
  </si>
  <si>
    <r>
      <t>LivingWise</t>
    </r>
    <r>
      <rPr>
        <b/>
        <sz val="11"/>
        <color indexed="8"/>
        <rFont val="Calibri"/>
        <family val="2"/>
      </rPr>
      <t>®</t>
    </r>
  </si>
  <si>
    <t xml:space="preserve">CFL's </t>
  </si>
  <si>
    <t>The Custom Energy Report reached 58 homes out of 500 potential customers, achieving 11.6%.</t>
  </si>
  <si>
    <t>Evaluate additional means and  opportunities for the customer to enroll and participate in the program.</t>
  </si>
  <si>
    <t>Provide additional resources, literature and documentation that support energy efficiency within the home.</t>
  </si>
  <si>
    <t>Qualify with Direct Options on new methodologies available on limiting key entry errors or cross checking against accumulated statistics.</t>
  </si>
  <si>
    <t>With the uptick in the economy, motor changeouts occurred through out the service territory.  EPAC rules helped in educating Industrial consumers on the advantages of high efficiency. 10% of all installations were verified.</t>
  </si>
  <si>
    <t>Oklahoma Gas &amp; Electric Company</t>
  </si>
  <si>
    <t>07-075-TF</t>
  </si>
  <si>
    <t>Consumer not educated on Home Energy Usage and or Measures.</t>
  </si>
  <si>
    <t>The program since the beginning has had a upward growth as local commercial accounts and industrial consumers have reduce their demand through lighting upgrades.  100% of installations were verified.</t>
  </si>
  <si>
    <t xml:space="preserve">OG&amp;E will continue to reach out to educational, public authority, small commercial and light industrial customers with new and innovative lighting needs.  The addition of energy efficient LED fixtures in the market, will help the consumer to have a variety of fixtures for their lighting. </t>
  </si>
  <si>
    <t xml:space="preserve">OG&amp;E has revised their new comprehensive motor program by including 10-100 HP motors.  With the broadening of the market scope, we worked to  capture more of the scope of work performed in the industry.  We will continue to plan training sessions and seminars on the benefits of high efficient motors.  New HVAC tune-up programs with a Standard Offer Program will be put in place with the future Energy Efficiency Filing  to help ease the cost of upgrades. </t>
  </si>
  <si>
    <t xml:space="preserve">The Energy Policy Act of 1992 and The Energy Independence and Security Act of 2007 standards on 1-500 HP  in 2010, will have a huge impact on the applications of motor installments.  Preminum efficient motor standards will become the new standard in energy efficiency.  This will help the market saturation and will allow incentives to go away. </t>
  </si>
  <si>
    <t>Budgeted amounts for Base Rate and EECR columns are estimated using same percentage allocation as actual base rate and EECR costs.</t>
  </si>
  <si>
    <t>Marketing &amp; Delivery*</t>
  </si>
  <si>
    <t xml:space="preserve">Energy Efficiency Arkansas (Collaborative) </t>
  </si>
  <si>
    <t>Compact Fluorescent Lighting - Quick Start Program.  *Cancelled in 2009</t>
  </si>
  <si>
    <t>Program Year - 2010</t>
  </si>
  <si>
    <t>Program Year - 2011</t>
  </si>
  <si>
    <t>Societal Test</t>
  </si>
  <si>
    <t>(ST)</t>
  </si>
  <si>
    <t>Utility Cost Test</t>
  </si>
  <si>
    <t>(UCT)</t>
  </si>
  <si>
    <t>Energy Efficiency Arkansas</t>
  </si>
  <si>
    <t>RESNET Training</t>
  </si>
  <si>
    <t>Certification Requirements to maintain certification or HERS Rater</t>
  </si>
  <si>
    <t>Francis Tuttle Vo-Tech, Oklahoma City, Oklahoma</t>
  </si>
  <si>
    <t>GWS</t>
  </si>
  <si>
    <t>6/24-26/ 2010</t>
  </si>
  <si>
    <t>4/21-4/25/
2008</t>
  </si>
  <si>
    <t>Lead Generation, Qualified Customers</t>
  </si>
  <si>
    <t>OG&amp;E Weatherization</t>
  </si>
  <si>
    <t>AWP Weatherization</t>
  </si>
  <si>
    <t>Reduce requirements to generate more qualified leads and homes.</t>
  </si>
  <si>
    <t>Yes. 10% of the homes weatherized under this program received a post inspection.  CAP Agencies are audited by State Auditor.</t>
  </si>
  <si>
    <t>Influencing contractors and consumers to participate in programs. Reaching customers in the OG&amp;E Territory through pring, radio, tv.</t>
  </si>
  <si>
    <t>Impacted 6/100ths of 1% of the homes in the OG&amp;E Service Territory of the Fort Smith area.  Based on 30,000 homes of eligiblity for weatherization improvements and of that 10% of the homes  being severely energy inefficient.</t>
  </si>
  <si>
    <t>In the AWP Comprehensive program and additional 177 homes will be impacted, leaving 9823 available to be weatherized.</t>
  </si>
  <si>
    <t>At a rate of 59 homes weatherized per year, AWP could effectively cover the Fort Smith area in 169  years, without any additional homes following into the severely energy inefficient.</t>
  </si>
  <si>
    <t>OG&amp;E Weatherization Program</t>
  </si>
  <si>
    <t xml:space="preserve">OG&amp;E Weatherization program impacted 3/10ths of 1% of the homes in the OG&amp;E Service Territory of the Fort Smith area. </t>
  </si>
  <si>
    <t>OG&amp;E will provide 4290 homes with weatherization services over the next three years in their comprehensive filing.</t>
  </si>
  <si>
    <t>At a rate of 4290 homes weatherized per year the OG&amp;E weatherization Program could effectively cover the Fort Smith Territory in 18 years.</t>
  </si>
  <si>
    <t xml:space="preserve">Having mailed over 40,000 information letters to existing customers this program has reached a  saturation level. OG&amp;E does not feel as though additional mailings will benefit the consumer due to low response rate of mailing. </t>
  </si>
  <si>
    <t>This program will only be utilized as a web-based  tool and will not be offered as an ongoing program.</t>
  </si>
  <si>
    <t xml:space="preserve">AWP Weatherization </t>
  </si>
  <si>
    <t>Arkansas Weatherization Program - Joint effort with State.</t>
  </si>
  <si>
    <t xml:space="preserve"># See AWP Report for Actuals. </t>
  </si>
  <si>
    <t>Managing the quality of leads generated by the Clearinghouse</t>
  </si>
  <si>
    <t>Measures the accuracy of home owners inputs mislead program on outputs for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</si>
</sst>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409]mmmm\ d\,\ yyyy;@"/>
    <numFmt numFmtId="168" formatCode="&quot;$&quot;#,##0.00"/>
    <numFmt numFmtId="169" formatCode="_(* #,##0.0_);_(* \(#,##0.0\);_(* &quot;-&quot;??_);_(@_)"/>
    <numFmt numFmtId="170" formatCode="_(* #,##0_);_(* \(#,##0\);_(* &quot;-&quot;??_);_(@_)"/>
    <numFmt numFmtId="171" formatCode="#,##0.0"/>
    <numFmt numFmtId="172" formatCode="0.000%"/>
  </numFmts>
  <fonts count="64">
    <font>
      <sz val="10"/>
      <name val="Arial"/>
    </font>
    <font>
      <sz val="10"/>
      <name val="Arial"/>
      <family val="2"/>
    </font>
    <font>
      <b/>
      <sz val="22"/>
      <name val="Arial"/>
      <family val="2"/>
    </font>
    <font>
      <sz val="11"/>
      <color indexed="8"/>
      <name val="Arial"/>
      <family val="2"/>
    </font>
    <font>
      <sz val="10"/>
      <name val="Arial"/>
      <family val="2"/>
    </font>
    <font>
      <b/>
      <sz val="10"/>
      <color indexed="8"/>
      <name val="Arial"/>
      <family val="2"/>
    </font>
    <font>
      <sz val="10"/>
      <color indexed="8"/>
      <name val="Arial"/>
      <family val="2"/>
    </font>
    <font>
      <b/>
      <sz val="10"/>
      <name val="Arial"/>
      <family val="2"/>
    </font>
    <font>
      <u/>
      <sz val="10"/>
      <color indexed="12"/>
      <name val="Arial"/>
      <family val="2"/>
    </font>
    <font>
      <sz val="9"/>
      <color indexed="8"/>
      <name val="Arial"/>
      <family val="2"/>
    </font>
    <font>
      <b/>
      <sz val="9"/>
      <color indexed="8"/>
      <name val="Arial"/>
      <family val="2"/>
    </font>
    <font>
      <sz val="10"/>
      <name val="Arial"/>
      <family val="2"/>
    </font>
    <font>
      <b/>
      <sz val="10"/>
      <name val="Times New Roman"/>
      <family val="1"/>
    </font>
    <font>
      <sz val="10"/>
      <name val="Arial"/>
      <family val="2"/>
    </font>
    <font>
      <sz val="9"/>
      <name val="Arial"/>
      <family val="2"/>
    </font>
    <font>
      <b/>
      <sz val="10"/>
      <name val="Arial"/>
      <family val="2"/>
    </font>
    <font>
      <sz val="10"/>
      <name val="Arial"/>
      <family val="2"/>
    </font>
    <font>
      <b/>
      <sz val="9"/>
      <color indexed="8"/>
      <name val="Arial"/>
      <family val="2"/>
    </font>
    <font>
      <sz val="9"/>
      <color indexed="8"/>
      <name val="Arial"/>
      <family val="2"/>
    </font>
    <font>
      <sz val="8"/>
      <name val="Arial"/>
      <family val="2"/>
    </font>
    <font>
      <b/>
      <sz val="10"/>
      <color indexed="8"/>
      <name val="Arial"/>
      <family val="2"/>
    </font>
    <font>
      <b/>
      <sz val="7.5"/>
      <name val="Arial"/>
      <family val="2"/>
    </font>
    <font>
      <b/>
      <sz val="8"/>
      <name val="Arial"/>
      <family val="2"/>
    </font>
    <font>
      <b/>
      <sz val="8"/>
      <color indexed="8"/>
      <name val="Arial"/>
      <family val="2"/>
    </font>
    <font>
      <b/>
      <sz val="18"/>
      <color indexed="8"/>
      <name val="Arial"/>
      <family val="2"/>
    </font>
    <font>
      <b/>
      <sz val="1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Arial"/>
      <family val="2"/>
    </font>
    <font>
      <b/>
      <sz val="12"/>
      <color indexed="8"/>
      <name val="Arial"/>
      <family val="2"/>
    </font>
    <font>
      <sz val="12"/>
      <color indexed="8"/>
      <name val="Arial"/>
      <family val="2"/>
    </font>
    <font>
      <b/>
      <sz val="11"/>
      <color indexed="8"/>
      <name val="Arial"/>
      <family val="2"/>
    </font>
    <font>
      <b/>
      <u/>
      <sz val="11"/>
      <color indexed="8"/>
      <name val="Arial"/>
      <family val="2"/>
    </font>
    <font>
      <b/>
      <sz val="7"/>
      <name val="Arial"/>
      <family val="2"/>
    </font>
    <font>
      <sz val="20"/>
      <name val="Arial"/>
      <family val="2"/>
    </font>
    <font>
      <b/>
      <sz val="18"/>
      <name val="Arial"/>
      <family val="2"/>
    </font>
    <font>
      <b/>
      <sz val="18"/>
      <name val="Arial"/>
      <family val="2"/>
    </font>
    <font>
      <b/>
      <sz val="14"/>
      <name val="Arial"/>
      <family val="2"/>
    </font>
    <font>
      <sz val="14"/>
      <name val="Arial"/>
      <family val="2"/>
    </font>
    <font>
      <sz val="10"/>
      <color indexed="9"/>
      <name val="Arial"/>
      <family val="2"/>
    </font>
    <font>
      <b/>
      <sz val="9"/>
      <name val="Times New Roman"/>
      <family val="1"/>
    </font>
    <font>
      <b/>
      <sz val="7"/>
      <color indexed="8"/>
      <name val="Arial"/>
      <family val="2"/>
    </font>
    <font>
      <sz val="8"/>
      <color indexed="8"/>
      <name val="Arial"/>
      <family val="2"/>
    </font>
    <font>
      <b/>
      <sz val="9"/>
      <name val="Arial"/>
      <family val="2"/>
    </font>
    <font>
      <b/>
      <i/>
      <sz val="10"/>
      <color indexed="8"/>
      <name val="Arial"/>
      <family val="2"/>
    </font>
    <font>
      <sz val="8"/>
      <color indexed="81"/>
      <name val="Tahoma"/>
      <family val="2"/>
    </font>
    <font>
      <b/>
      <sz val="8"/>
      <color indexed="81"/>
      <name val="Tahoma"/>
      <family val="2"/>
    </font>
    <font>
      <sz val="9"/>
      <color theme="1"/>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21"/>
        <bgColor indexed="64"/>
      </patternFill>
    </fill>
    <fill>
      <patternFill patternType="solid">
        <fgColor theme="8" tint="0.39997558519241921"/>
        <bgColor indexed="64"/>
      </patternFill>
    </fill>
  </fills>
  <borders count="1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8"/>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2"/>
      </left>
      <right/>
      <top style="thin">
        <color indexed="64"/>
      </top>
      <bottom/>
      <diagonal/>
    </border>
    <border>
      <left/>
      <right style="medium">
        <color indexed="12"/>
      </right>
      <top/>
      <bottom/>
      <diagonal/>
    </border>
    <border>
      <left/>
      <right style="medium">
        <color indexed="12"/>
      </right>
      <top style="thin">
        <color indexed="64"/>
      </top>
      <bottom/>
      <diagonal/>
    </border>
    <border>
      <left style="medium">
        <color indexed="12"/>
      </left>
      <right/>
      <top/>
      <bottom/>
      <diagonal/>
    </border>
    <border>
      <left style="medium">
        <color indexed="12"/>
      </left>
      <right/>
      <top/>
      <bottom style="thin">
        <color indexed="64"/>
      </bottom>
      <diagonal/>
    </border>
    <border>
      <left/>
      <right style="medium">
        <color indexed="12"/>
      </right>
      <top/>
      <bottom style="thin">
        <color indexed="64"/>
      </bottom>
      <diagonal/>
    </border>
    <border>
      <left style="medium">
        <color indexed="12"/>
      </left>
      <right style="thin">
        <color indexed="64"/>
      </right>
      <top style="thin">
        <color indexed="64"/>
      </top>
      <bottom style="thin">
        <color indexed="64"/>
      </bottom>
      <diagonal/>
    </border>
    <border>
      <left/>
      <right style="medium">
        <color indexed="12"/>
      </right>
      <top style="thin">
        <color indexed="64"/>
      </top>
      <bottom style="thin">
        <color indexed="64"/>
      </bottom>
      <diagonal/>
    </border>
    <border>
      <left style="medium">
        <color indexed="39"/>
      </left>
      <right/>
      <top/>
      <bottom/>
      <diagonal/>
    </border>
    <border>
      <left/>
      <right style="medium">
        <color indexed="39"/>
      </right>
      <top/>
      <bottom/>
      <diagonal/>
    </border>
    <border>
      <left style="medium">
        <color indexed="39"/>
      </left>
      <right style="medium">
        <color indexed="64"/>
      </right>
      <top style="medium">
        <color indexed="64"/>
      </top>
      <bottom/>
      <diagonal/>
    </border>
    <border>
      <left style="medium">
        <color indexed="64"/>
      </left>
      <right style="medium">
        <color indexed="39"/>
      </right>
      <top style="medium">
        <color indexed="64"/>
      </top>
      <bottom/>
      <diagonal/>
    </border>
    <border>
      <left style="medium">
        <color indexed="39"/>
      </left>
      <right style="medium">
        <color indexed="64"/>
      </right>
      <top style="thin">
        <color indexed="64"/>
      </top>
      <bottom/>
      <diagonal/>
    </border>
    <border>
      <left style="medium">
        <color indexed="39"/>
      </left>
      <right style="medium">
        <color indexed="64"/>
      </right>
      <top/>
      <bottom style="medium">
        <color indexed="64"/>
      </bottom>
      <diagonal/>
    </border>
    <border>
      <left style="medium">
        <color indexed="39"/>
      </left>
      <right style="medium">
        <color indexed="64"/>
      </right>
      <top/>
      <bottom/>
      <diagonal/>
    </border>
    <border>
      <left style="medium">
        <color indexed="39"/>
      </left>
      <right style="medium">
        <color indexed="64"/>
      </right>
      <top/>
      <bottom style="medium">
        <color indexed="39"/>
      </bottom>
      <diagonal/>
    </border>
    <border>
      <left/>
      <right/>
      <top/>
      <bottom style="medium">
        <color indexed="39"/>
      </bottom>
      <diagonal/>
    </border>
    <border>
      <left style="medium">
        <color indexed="39"/>
      </left>
      <right style="medium">
        <color indexed="64"/>
      </right>
      <top style="medium">
        <color indexed="39"/>
      </top>
      <bottom/>
      <diagonal/>
    </border>
    <border>
      <left/>
      <right/>
      <top style="medium">
        <color indexed="39"/>
      </top>
      <bottom/>
      <diagonal/>
    </border>
    <border>
      <left style="medium">
        <color indexed="64"/>
      </left>
      <right style="medium">
        <color indexed="39"/>
      </right>
      <top/>
      <bottom/>
      <diagonal/>
    </border>
    <border>
      <left style="medium">
        <color indexed="64"/>
      </left>
      <right style="medium">
        <color indexed="39"/>
      </right>
      <top/>
      <bottom style="medium">
        <color indexed="64"/>
      </bottom>
      <diagonal/>
    </border>
    <border>
      <left style="medium">
        <color indexed="64"/>
      </left>
      <right style="medium">
        <color indexed="39"/>
      </right>
      <top/>
      <bottom style="thin">
        <color indexed="64"/>
      </bottom>
      <diagonal/>
    </border>
    <border>
      <left style="medium">
        <color indexed="64"/>
      </left>
      <right style="medium">
        <color indexed="39"/>
      </right>
      <top style="thin">
        <color indexed="64"/>
      </top>
      <bottom style="thin">
        <color indexed="64"/>
      </bottom>
      <diagonal/>
    </border>
    <border>
      <left style="medium">
        <color indexed="64"/>
      </left>
      <right style="medium">
        <color indexed="64"/>
      </right>
      <top style="medium">
        <color indexed="64"/>
      </top>
      <bottom style="medium">
        <color indexed="39"/>
      </bottom>
      <diagonal/>
    </border>
    <border>
      <left style="medium">
        <color indexed="39"/>
      </left>
      <right style="thin">
        <color indexed="64"/>
      </right>
      <top style="thin">
        <color indexed="64"/>
      </top>
      <bottom/>
      <diagonal/>
    </border>
    <border>
      <left style="medium">
        <color indexed="39"/>
      </left>
      <right style="thin">
        <color indexed="64"/>
      </right>
      <top/>
      <bottom style="thin">
        <color indexed="64"/>
      </bottom>
      <diagonal/>
    </border>
    <border>
      <left/>
      <right style="medium">
        <color indexed="39"/>
      </right>
      <top/>
      <bottom style="thin">
        <color indexed="64"/>
      </bottom>
      <diagonal/>
    </border>
    <border>
      <left style="medium">
        <color indexed="39"/>
      </left>
      <right style="thin">
        <color indexed="64"/>
      </right>
      <top/>
      <bottom/>
      <diagonal/>
    </border>
    <border>
      <left style="medium">
        <color indexed="39"/>
      </left>
      <right style="thin">
        <color indexed="64"/>
      </right>
      <top style="thin">
        <color indexed="64"/>
      </top>
      <bottom style="medium">
        <color indexed="39"/>
      </bottom>
      <diagonal/>
    </border>
    <border>
      <left style="thin">
        <color indexed="64"/>
      </left>
      <right/>
      <top style="thin">
        <color indexed="64"/>
      </top>
      <bottom style="medium">
        <color indexed="39"/>
      </bottom>
      <diagonal/>
    </border>
    <border>
      <left/>
      <right/>
      <top style="thin">
        <color indexed="64"/>
      </top>
      <bottom style="medium">
        <color indexed="39"/>
      </bottom>
      <diagonal/>
    </border>
    <border>
      <left/>
      <right style="thin">
        <color indexed="64"/>
      </right>
      <top style="thin">
        <color indexed="64"/>
      </top>
      <bottom style="medium">
        <color indexed="39"/>
      </bottom>
      <diagonal/>
    </border>
    <border>
      <left/>
      <right style="medium">
        <color indexed="39"/>
      </right>
      <top style="thin">
        <color indexed="64"/>
      </top>
      <bottom style="medium">
        <color indexed="39"/>
      </bottom>
      <diagonal/>
    </border>
    <border>
      <left style="medium">
        <color indexed="39"/>
      </left>
      <right style="medium">
        <color indexed="64"/>
      </right>
      <top style="thin">
        <color indexed="64"/>
      </top>
      <bottom style="thin">
        <color indexed="64"/>
      </bottom>
      <diagonal/>
    </border>
    <border>
      <left style="thin">
        <color indexed="64"/>
      </left>
      <right style="medium">
        <color indexed="39"/>
      </right>
      <top style="medium">
        <color indexed="64"/>
      </top>
      <bottom style="thin">
        <color indexed="64"/>
      </bottom>
      <diagonal/>
    </border>
    <border>
      <left style="thin">
        <color indexed="64"/>
      </left>
      <right style="medium">
        <color indexed="39"/>
      </right>
      <top style="thin">
        <color indexed="64"/>
      </top>
      <bottom style="thin">
        <color indexed="64"/>
      </bottom>
      <diagonal/>
    </border>
    <border>
      <left style="medium">
        <color indexed="39"/>
      </left>
      <right style="medium">
        <color indexed="64"/>
      </right>
      <top/>
      <bottom style="thin">
        <color indexed="64"/>
      </bottom>
      <diagonal/>
    </border>
    <border>
      <left style="thin">
        <color indexed="64"/>
      </left>
      <right style="medium">
        <color indexed="39"/>
      </right>
      <top/>
      <bottom style="thin">
        <color indexed="64"/>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39"/>
      </left>
      <right style="thin">
        <color indexed="64"/>
      </right>
      <top style="medium">
        <color indexed="39"/>
      </top>
      <bottom/>
      <diagonal/>
    </border>
    <border>
      <left style="medium">
        <color indexed="39"/>
      </left>
      <right style="medium">
        <color indexed="64"/>
      </right>
      <top style="medium">
        <color indexed="64"/>
      </top>
      <bottom style="medium">
        <color indexed="64"/>
      </bottom>
      <diagonal/>
    </border>
    <border>
      <left style="medium">
        <color indexed="39"/>
      </left>
      <right style="medium">
        <color indexed="64"/>
      </right>
      <top style="medium">
        <color indexed="64"/>
      </top>
      <bottom style="medium">
        <color indexed="39"/>
      </bottom>
      <diagonal/>
    </border>
    <border>
      <left style="medium">
        <color indexed="39"/>
      </left>
      <right/>
      <top style="thin">
        <color indexed="64"/>
      </top>
      <bottom style="thin">
        <color indexed="64"/>
      </bottom>
      <diagonal/>
    </border>
    <border>
      <left/>
      <right/>
      <top style="thin">
        <color indexed="64"/>
      </top>
      <bottom style="thin">
        <color indexed="64"/>
      </bottom>
      <diagonal/>
    </border>
    <border>
      <left/>
      <right style="medium">
        <color indexed="39"/>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39"/>
      </right>
      <top style="thin">
        <color indexed="64"/>
      </top>
      <bottom/>
      <diagonal/>
    </border>
    <border>
      <left style="thin">
        <color indexed="64"/>
      </left>
      <right style="thin">
        <color indexed="64"/>
      </right>
      <top/>
      <bottom/>
      <diagonal/>
    </border>
    <border>
      <left style="thin">
        <color indexed="64"/>
      </left>
      <right style="medium">
        <color indexed="39"/>
      </right>
      <top/>
      <bottom/>
      <diagonal/>
    </border>
    <border>
      <left style="thin">
        <color indexed="64"/>
      </left>
      <right style="thin">
        <color indexed="64"/>
      </right>
      <top/>
      <bottom style="medium">
        <color indexed="39"/>
      </bottom>
      <diagonal/>
    </border>
    <border>
      <left style="thin">
        <color indexed="64"/>
      </left>
      <right style="medium">
        <color indexed="39"/>
      </right>
      <top/>
      <bottom style="medium">
        <color indexed="39"/>
      </bottom>
      <diagonal/>
    </border>
    <border>
      <left style="thin">
        <color indexed="64"/>
      </left>
      <right style="thin">
        <color indexed="64"/>
      </right>
      <top style="medium">
        <color indexed="39"/>
      </top>
      <bottom/>
      <diagonal/>
    </border>
    <border>
      <left style="thin">
        <color indexed="64"/>
      </left>
      <right style="medium">
        <color indexed="39"/>
      </right>
      <top style="medium">
        <color indexed="39"/>
      </top>
      <bottom/>
      <diagonal/>
    </border>
    <border>
      <left style="medium">
        <color indexed="39"/>
      </left>
      <right style="thin">
        <color indexed="64"/>
      </right>
      <top/>
      <bottom style="medium">
        <color indexed="39"/>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39"/>
      </right>
      <top style="thin">
        <color indexed="64"/>
      </top>
      <bottom/>
      <diagonal/>
    </border>
    <border>
      <left style="medium">
        <color indexed="64"/>
      </left>
      <right style="medium">
        <color indexed="39"/>
      </right>
      <top style="medium">
        <color indexed="39"/>
      </top>
      <bottom style="medium">
        <color indexed="64"/>
      </bottom>
      <diagonal/>
    </border>
    <border>
      <left style="medium">
        <color indexed="64"/>
      </left>
      <right style="medium">
        <color indexed="39"/>
      </right>
      <top style="medium">
        <color indexed="64"/>
      </top>
      <bottom style="thin">
        <color indexed="64"/>
      </bottom>
      <diagonal/>
    </border>
    <border>
      <left style="medium">
        <color indexed="64"/>
      </left>
      <right style="medium">
        <color indexed="39"/>
      </right>
      <top style="medium">
        <color indexed="64"/>
      </top>
      <bottom style="medium">
        <color indexed="64"/>
      </bottom>
      <diagonal/>
    </border>
    <border>
      <left style="medium">
        <color indexed="39"/>
      </left>
      <right style="medium">
        <color indexed="64"/>
      </right>
      <top style="thin">
        <color indexed="64"/>
      </top>
      <bottom style="medium">
        <color indexed="64"/>
      </bottom>
      <diagonal/>
    </border>
    <border>
      <left style="medium">
        <color indexed="39"/>
      </left>
      <right/>
      <top style="medium">
        <color indexed="64"/>
      </top>
      <bottom style="medium">
        <color indexed="64"/>
      </bottom>
      <diagonal/>
    </border>
    <border>
      <left/>
      <right style="medium">
        <color indexed="39"/>
      </right>
      <top style="medium">
        <color indexed="64"/>
      </top>
      <bottom style="medium">
        <color indexed="64"/>
      </bottom>
      <diagonal/>
    </border>
    <border>
      <left style="medium">
        <color indexed="39"/>
      </left>
      <right style="medium">
        <color indexed="64"/>
      </right>
      <top style="medium">
        <color indexed="64"/>
      </top>
      <bottom style="thin">
        <color indexed="64"/>
      </bottom>
      <diagonal/>
    </border>
    <border>
      <left style="thin">
        <color indexed="64"/>
      </left>
      <right style="medium">
        <color indexed="39"/>
      </right>
      <top style="thin">
        <color indexed="64"/>
      </top>
      <bottom style="medium">
        <color indexed="64"/>
      </bottom>
      <diagonal/>
    </border>
    <border>
      <left/>
      <right style="medium">
        <color indexed="39"/>
      </right>
      <top/>
      <bottom style="medium">
        <color indexed="39"/>
      </bottom>
      <diagonal/>
    </border>
    <border>
      <left style="medium">
        <color indexed="39"/>
      </left>
      <right/>
      <top style="thin">
        <color indexed="64"/>
      </top>
      <bottom/>
      <diagonal/>
    </border>
    <border>
      <left style="medium">
        <color indexed="39"/>
      </left>
      <right/>
      <top/>
      <bottom style="thin">
        <color indexed="64"/>
      </bottom>
      <diagonal/>
    </border>
    <border>
      <left style="medium">
        <color indexed="39"/>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39"/>
      </right>
      <top style="medium">
        <color indexed="64"/>
      </top>
      <bottom style="medium">
        <color indexed="64"/>
      </bottom>
      <diagonal/>
    </border>
    <border>
      <left style="thin">
        <color indexed="64"/>
      </left>
      <right style="thin">
        <color indexed="64"/>
      </right>
      <top style="medium">
        <color indexed="64"/>
      </top>
      <bottom style="medium">
        <color indexed="39"/>
      </bottom>
      <diagonal/>
    </border>
    <border>
      <left style="thin">
        <color indexed="64"/>
      </left>
      <right style="medium">
        <color indexed="39"/>
      </right>
      <top style="medium">
        <color indexed="64"/>
      </top>
      <bottom style="medium">
        <color indexed="39"/>
      </bottom>
      <diagonal/>
    </border>
    <border>
      <left style="medium">
        <color indexed="64"/>
      </left>
      <right style="medium">
        <color indexed="39"/>
      </right>
      <top style="thin">
        <color indexed="64"/>
      </top>
      <bottom/>
      <diagonal/>
    </border>
    <border>
      <left style="medium">
        <color indexed="64"/>
      </left>
      <right style="thin">
        <color indexed="64"/>
      </right>
      <top style="medium">
        <color indexed="64"/>
      </top>
      <bottom style="medium">
        <color indexed="39"/>
      </bottom>
      <diagonal/>
    </border>
    <border>
      <left style="thin">
        <color indexed="64"/>
      </left>
      <right style="medium">
        <color indexed="64"/>
      </right>
      <top style="medium">
        <color indexed="64"/>
      </top>
      <bottom style="medium">
        <color indexed="39"/>
      </bottom>
      <diagonal/>
    </border>
    <border>
      <left style="medium">
        <color indexed="64"/>
      </left>
      <right style="medium">
        <color indexed="39"/>
      </right>
      <top style="medium">
        <color indexed="64"/>
      </top>
      <bottom style="medium">
        <color indexed="39"/>
      </bottom>
      <diagonal/>
    </border>
    <border>
      <left style="medium">
        <color indexed="64"/>
      </left>
      <right/>
      <top/>
      <bottom style="thin">
        <color indexed="64"/>
      </bottom>
      <diagonal/>
    </border>
    <border>
      <left style="medium">
        <color indexed="64"/>
      </left>
      <right/>
      <top style="medium">
        <color indexed="64"/>
      </top>
      <bottom style="medium">
        <color indexed="39"/>
      </bottom>
      <diagonal/>
    </border>
    <border>
      <left style="medium">
        <color indexed="39"/>
      </left>
      <right/>
      <top/>
      <bottom style="medium">
        <color indexed="39"/>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39"/>
      </left>
      <right/>
      <top style="medium">
        <color indexed="39"/>
      </top>
      <bottom style="medium">
        <color indexed="64"/>
      </bottom>
      <diagonal/>
    </border>
    <border>
      <left/>
      <right/>
      <top style="medium">
        <color indexed="39"/>
      </top>
      <bottom style="medium">
        <color indexed="64"/>
      </bottom>
      <diagonal/>
    </border>
    <border>
      <left/>
      <right style="medium">
        <color indexed="39"/>
      </right>
      <top style="medium">
        <color indexed="39"/>
      </top>
      <bottom style="medium">
        <color indexed="64"/>
      </bottom>
      <diagonal/>
    </border>
    <border>
      <left style="thin">
        <color indexed="64"/>
      </left>
      <right/>
      <top/>
      <bottom style="medium">
        <color indexed="39"/>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39"/>
      </left>
      <right/>
      <top style="medium">
        <color indexed="39"/>
      </top>
      <bottom style="thin">
        <color indexed="64"/>
      </bottom>
      <diagonal/>
    </border>
    <border>
      <left/>
      <right/>
      <top style="medium">
        <color indexed="39"/>
      </top>
      <bottom style="thin">
        <color indexed="64"/>
      </bottom>
      <diagonal/>
    </border>
    <border>
      <left/>
      <right style="medium">
        <color indexed="39"/>
      </right>
      <top style="medium">
        <color indexed="39"/>
      </top>
      <bottom style="thin">
        <color indexed="64"/>
      </bottom>
      <diagonal/>
    </border>
    <border>
      <left/>
      <right style="thin">
        <color indexed="64"/>
      </right>
      <top style="medium">
        <color indexed="64"/>
      </top>
      <bottom style="medium">
        <color indexed="64"/>
      </bottom>
      <diagonal/>
    </border>
    <border>
      <left/>
      <right style="medium">
        <color indexed="39"/>
      </right>
      <top style="medium">
        <color indexed="64"/>
      </top>
      <bottom/>
      <diagonal/>
    </border>
    <border>
      <left/>
      <right style="medium">
        <color indexed="39"/>
      </right>
      <top/>
      <bottom style="medium">
        <color indexed="64"/>
      </bottom>
      <diagonal/>
    </border>
    <border>
      <left style="medium">
        <color indexed="64"/>
      </left>
      <right/>
      <top style="medium">
        <color indexed="39"/>
      </top>
      <bottom style="medium">
        <color indexed="64"/>
      </bottom>
      <diagonal/>
    </border>
    <border>
      <left style="thin">
        <color indexed="64"/>
      </left>
      <right/>
      <top style="medium">
        <color indexed="39"/>
      </top>
      <bottom style="thin">
        <color indexed="64"/>
      </bottom>
      <diagonal/>
    </border>
    <border>
      <left/>
      <right style="thin">
        <color indexed="64"/>
      </right>
      <top style="medium">
        <color indexed="39"/>
      </top>
      <bottom style="thin">
        <color indexed="64"/>
      </bottom>
      <diagonal/>
    </border>
    <border>
      <left style="medium">
        <color indexed="39"/>
      </left>
      <right/>
      <top style="medium">
        <color indexed="39"/>
      </top>
      <bottom/>
      <diagonal/>
    </border>
    <border>
      <left/>
      <right style="medium">
        <color indexed="39"/>
      </right>
      <top style="medium">
        <color indexed="39"/>
      </top>
      <bottom/>
      <diagonal/>
    </border>
    <border>
      <left/>
      <right style="medium">
        <color indexed="64"/>
      </right>
      <top style="medium">
        <color indexed="39"/>
      </top>
      <bottom style="medium">
        <color indexed="64"/>
      </bottom>
      <diagonal/>
    </border>
    <border>
      <left style="medium">
        <color indexed="12"/>
      </left>
      <right/>
      <top style="thin">
        <color indexed="64"/>
      </top>
      <bottom style="thin">
        <color indexed="64"/>
      </bottom>
      <diagonal/>
    </border>
    <border>
      <left style="medium">
        <color indexed="12"/>
      </left>
      <right/>
      <top style="medium">
        <color indexed="12"/>
      </top>
      <bottom style="thin">
        <color indexed="64"/>
      </bottom>
      <diagonal/>
    </border>
    <border>
      <left/>
      <right/>
      <top style="medium">
        <color indexed="12"/>
      </top>
      <bottom style="thin">
        <color indexed="64"/>
      </bottom>
      <diagonal/>
    </border>
    <border>
      <left/>
      <right style="medium">
        <color indexed="12"/>
      </right>
      <top style="medium">
        <color indexed="12"/>
      </top>
      <bottom style="thin">
        <color indexed="64"/>
      </bottom>
      <diagonal/>
    </border>
  </borders>
  <cellStyleXfs count="47">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3" fillId="0" borderId="0"/>
    <xf numFmtId="0" fontId="3" fillId="23" borderId="7" applyNumberFormat="0" applyFont="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9" fontId="63" fillId="0" borderId="0" applyFont="0" applyFill="0" applyBorder="0" applyAlignment="0" applyProtection="0"/>
  </cellStyleXfs>
  <cellXfs count="972">
    <xf numFmtId="0" fontId="0" fillId="0" borderId="0" xfId="0"/>
    <xf numFmtId="0" fontId="4" fillId="24" borderId="10" xfId="0" applyFont="1" applyFill="1" applyBorder="1" applyAlignment="1">
      <alignment horizontal="center" wrapText="1"/>
    </xf>
    <xf numFmtId="0" fontId="5" fillId="24" borderId="11" xfId="40" applyFont="1" applyFill="1" applyBorder="1" applyAlignment="1">
      <alignment horizontal="center"/>
    </xf>
    <xf numFmtId="0" fontId="5" fillId="0" borderId="0" xfId="40" applyFont="1"/>
    <xf numFmtId="0" fontId="5" fillId="0" borderId="0" xfId="40" applyFont="1" applyAlignment="1">
      <alignment horizontal="center"/>
    </xf>
    <xf numFmtId="0" fontId="5" fillId="24" borderId="12" xfId="40" applyFont="1" applyFill="1" applyBorder="1"/>
    <xf numFmtId="0" fontId="5" fillId="24" borderId="13" xfId="40" applyFont="1" applyFill="1" applyBorder="1" applyAlignment="1">
      <alignment horizontal="center"/>
    </xf>
    <xf numFmtId="0" fontId="5" fillId="24" borderId="14" xfId="40" applyFont="1" applyFill="1" applyBorder="1" applyAlignment="1">
      <alignment horizontal="center"/>
    </xf>
    <xf numFmtId="0" fontId="5" fillId="24" borderId="15" xfId="40" applyFont="1" applyFill="1" applyBorder="1" applyAlignment="1">
      <alignment horizontal="center"/>
    </xf>
    <xf numFmtId="0" fontId="6" fillId="0" borderId="0" xfId="40" applyFont="1"/>
    <xf numFmtId="0" fontId="6" fillId="0" borderId="0" xfId="40" applyFont="1" applyAlignment="1">
      <alignment horizontal="center"/>
    </xf>
    <xf numFmtId="0" fontId="5" fillId="24" borderId="15" xfId="40" applyFont="1" applyFill="1" applyBorder="1"/>
    <xf numFmtId="0" fontId="4" fillId="24" borderId="16" xfId="0" applyFont="1" applyFill="1" applyBorder="1" applyAlignment="1">
      <alignment horizontal="center" wrapText="1"/>
    </xf>
    <xf numFmtId="0" fontId="4" fillId="0" borderId="0" xfId="0" applyFont="1"/>
    <xf numFmtId="0" fontId="5" fillId="0" borderId="11" xfId="40" applyFont="1" applyBorder="1" applyAlignment="1">
      <alignment horizontal="center"/>
    </xf>
    <xf numFmtId="0" fontId="5" fillId="0" borderId="17" xfId="40" applyFont="1" applyBorder="1" applyAlignment="1">
      <alignment horizontal="center"/>
    </xf>
    <xf numFmtId="0" fontId="5" fillId="0" borderId="15" xfId="4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xf numFmtId="0" fontId="7" fillId="0" borderId="0" xfId="0" applyFont="1"/>
    <xf numFmtId="0" fontId="7" fillId="0" borderId="0" xfId="0" applyFont="1" applyFill="1" applyBorder="1" applyAlignment="1"/>
    <xf numFmtId="0" fontId="5" fillId="0" borderId="0" xfId="40" applyFont="1" applyBorder="1"/>
    <xf numFmtId="0" fontId="6" fillId="0" borderId="0" xfId="40" applyFont="1" applyBorder="1"/>
    <xf numFmtId="0" fontId="5" fillId="0" borderId="0" xfId="40" applyFont="1" applyBorder="1" applyAlignment="1">
      <alignment horizontal="center"/>
    </xf>
    <xf numFmtId="0" fontId="5" fillId="0" borderId="18" xfId="40" applyFont="1" applyBorder="1" applyAlignment="1">
      <alignment horizontal="center"/>
    </xf>
    <xf numFmtId="0" fontId="5" fillId="0" borderId="19" xfId="40" applyFont="1" applyBorder="1" applyAlignment="1">
      <alignment horizontal="center"/>
    </xf>
    <xf numFmtId="0" fontId="4" fillId="24" borderId="16" xfId="0" applyFont="1" applyFill="1" applyBorder="1" applyAlignment="1">
      <alignment horizontal="center" vertical="center" wrapText="1"/>
    </xf>
    <xf numFmtId="9" fontId="5" fillId="24" borderId="20" xfId="40" applyNumberFormat="1" applyFont="1" applyFill="1" applyBorder="1" applyAlignment="1">
      <alignment horizontal="center"/>
    </xf>
    <xf numFmtId="164" fontId="5" fillId="24" borderId="21" xfId="40" applyNumberFormat="1" applyFont="1" applyFill="1" applyBorder="1" applyAlignment="1">
      <alignment horizontal="center"/>
    </xf>
    <xf numFmtId="9" fontId="6" fillId="24" borderId="22" xfId="40" applyNumberFormat="1" applyFont="1" applyFill="1" applyBorder="1" applyAlignment="1">
      <alignment horizontal="center"/>
    </xf>
    <xf numFmtId="9" fontId="5" fillId="24" borderId="23" xfId="40" applyNumberFormat="1" applyFont="1" applyFill="1" applyBorder="1" applyAlignment="1">
      <alignment horizontal="center"/>
    </xf>
    <xf numFmtId="1" fontId="6" fillId="0" borderId="0" xfId="40" applyNumberFormat="1" applyFont="1"/>
    <xf numFmtId="0" fontId="4" fillId="24" borderId="10"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5" fillId="24" borderId="17" xfId="40" applyFont="1" applyFill="1" applyBorder="1" applyAlignment="1">
      <alignment horizontal="center"/>
    </xf>
    <xf numFmtId="0" fontId="7" fillId="0" borderId="0" xfId="40" applyFont="1" applyFill="1" applyBorder="1" applyAlignment="1"/>
    <xf numFmtId="0" fontId="7" fillId="24" borderId="17" xfId="40" applyFont="1" applyFill="1" applyBorder="1" applyAlignment="1">
      <alignment horizontal="center"/>
    </xf>
    <xf numFmtId="0" fontId="5" fillId="0" borderId="0" xfId="40" applyFont="1" applyFill="1" applyBorder="1" applyAlignment="1"/>
    <xf numFmtId="0" fontId="5" fillId="24" borderId="25" xfId="40" applyFont="1" applyFill="1" applyBorder="1" applyAlignment="1">
      <alignment horizontal="center"/>
    </xf>
    <xf numFmtId="0" fontId="7" fillId="0" borderId="26" xfId="0" applyFont="1" applyBorder="1" applyAlignment="1">
      <alignment horizontal="center" wrapText="1"/>
    </xf>
    <xf numFmtId="0" fontId="7" fillId="0" borderId="27" xfId="0" applyFont="1" applyBorder="1" applyAlignment="1">
      <alignment horizontal="center" wrapText="1"/>
    </xf>
    <xf numFmtId="0" fontId="7" fillId="0" borderId="17" xfId="0" applyFont="1" applyBorder="1" applyAlignment="1">
      <alignment horizontal="center" wrapText="1"/>
    </xf>
    <xf numFmtId="0" fontId="6" fillId="0" borderId="0" xfId="40" applyFont="1" applyFill="1" applyBorder="1"/>
    <xf numFmtId="0" fontId="7" fillId="0" borderId="0" xfId="0" applyFont="1" applyFill="1" applyBorder="1" applyAlignment="1">
      <alignment horizontal="center" wrapText="1"/>
    </xf>
    <xf numFmtId="9" fontId="4" fillId="0" borderId="0" xfId="0" applyNumberFormat="1" applyFont="1" applyFill="1" applyBorder="1" applyAlignment="1">
      <alignment horizontal="center"/>
    </xf>
    <xf numFmtId="0" fontId="4" fillId="24" borderId="25" xfId="0" applyFont="1" applyFill="1" applyBorder="1" applyAlignment="1">
      <alignment horizontal="center" wrapText="1"/>
    </xf>
    <xf numFmtId="0" fontId="5" fillId="24" borderId="24" xfId="40" applyFont="1" applyFill="1" applyBorder="1"/>
    <xf numFmtId="0" fontId="9" fillId="0" borderId="0" xfId="40" applyFont="1"/>
    <xf numFmtId="0" fontId="1" fillId="0" borderId="0" xfId="0" applyFont="1"/>
    <xf numFmtId="0" fontId="11" fillId="0" borderId="0" xfId="0" applyFont="1"/>
    <xf numFmtId="0" fontId="13" fillId="0" borderId="0" xfId="0" applyFont="1"/>
    <xf numFmtId="0" fontId="16" fillId="0" borderId="0" xfId="0" applyFont="1"/>
    <xf numFmtId="0" fontId="18" fillId="0" borderId="0" xfId="40" applyFont="1"/>
    <xf numFmtId="0" fontId="17" fillId="0" borderId="0" xfId="40" applyFont="1"/>
    <xf numFmtId="0" fontId="17" fillId="0" borderId="0" xfId="40" applyFont="1" applyAlignment="1">
      <alignment horizontal="center"/>
    </xf>
    <xf numFmtId="9" fontId="9" fillId="0" borderId="23" xfId="40" applyNumberFormat="1" applyFont="1" applyBorder="1" applyAlignment="1">
      <alignment horizontal="center"/>
    </xf>
    <xf numFmtId="9" fontId="9" fillId="0" borderId="28" xfId="40" applyNumberFormat="1" applyFont="1" applyBorder="1" applyAlignment="1">
      <alignment horizontal="center"/>
    </xf>
    <xf numFmtId="9" fontId="9" fillId="0" borderId="28" xfId="40" applyNumberFormat="1" applyFont="1" applyFill="1" applyBorder="1" applyAlignment="1">
      <alignment horizontal="center"/>
    </xf>
    <xf numFmtId="9" fontId="9" fillId="0" borderId="20" xfId="40" applyNumberFormat="1" applyFont="1" applyBorder="1" applyAlignment="1">
      <alignment horizontal="center"/>
    </xf>
    <xf numFmtId="0" fontId="5" fillId="24" borderId="29" xfId="40" applyFont="1" applyFill="1" applyBorder="1" applyAlignment="1">
      <alignment horizontal="center"/>
    </xf>
    <xf numFmtId="0" fontId="5" fillId="24" borderId="30" xfId="40" applyFont="1" applyFill="1" applyBorder="1" applyAlignment="1">
      <alignment horizontal="center"/>
    </xf>
    <xf numFmtId="9" fontId="9" fillId="0" borderId="22" xfId="40" applyNumberFormat="1" applyFont="1" applyFill="1" applyBorder="1" applyAlignment="1">
      <alignment horizontal="center"/>
    </xf>
    <xf numFmtId="3" fontId="9" fillId="0" borderId="21" xfId="40" applyNumberFormat="1" applyFont="1" applyFill="1" applyBorder="1" applyAlignment="1">
      <alignment horizontal="right"/>
    </xf>
    <xf numFmtId="9" fontId="9" fillId="0" borderId="22" xfId="40" applyNumberFormat="1" applyFont="1" applyBorder="1" applyAlignment="1">
      <alignment horizontal="center"/>
    </xf>
    <xf numFmtId="4" fontId="9" fillId="0" borderId="21" xfId="40" applyNumberFormat="1" applyFont="1" applyFill="1" applyBorder="1" applyAlignment="1">
      <alignment horizontal="center"/>
    </xf>
    <xf numFmtId="3" fontId="9" fillId="0" borderId="21" xfId="40" applyNumberFormat="1" applyFont="1" applyFill="1" applyBorder="1" applyAlignment="1">
      <alignment horizontal="center"/>
    </xf>
    <xf numFmtId="0" fontId="20" fillId="24" borderId="12" xfId="40" applyFont="1" applyFill="1" applyBorder="1"/>
    <xf numFmtId="0" fontId="20" fillId="24" borderId="15" xfId="40" applyFont="1" applyFill="1" applyBorder="1"/>
    <xf numFmtId="0" fontId="7" fillId="0" borderId="31" xfId="0" applyFont="1" applyBorder="1"/>
    <xf numFmtId="0" fontId="7" fillId="0" borderId="32" xfId="0" applyFont="1" applyBorder="1"/>
    <xf numFmtId="0" fontId="4" fillId="0" borderId="33" xfId="0" applyFont="1" applyBorder="1"/>
    <xf numFmtId="0" fontId="4" fillId="0" borderId="0" xfId="0" applyFont="1" applyBorder="1"/>
    <xf numFmtId="0" fontId="0" fillId="0" borderId="33" xfId="0" applyBorder="1"/>
    <xf numFmtId="0" fontId="0" fillId="0" borderId="0" xfId="0" applyBorder="1"/>
    <xf numFmtId="0" fontId="6" fillId="0" borderId="13" xfId="40" applyFont="1" applyFill="1" applyBorder="1" applyAlignment="1"/>
    <xf numFmtId="0" fontId="6" fillId="0" borderId="0" xfId="40" applyFont="1" applyFill="1" applyBorder="1" applyAlignment="1"/>
    <xf numFmtId="0" fontId="4" fillId="0" borderId="0" xfId="0" applyFont="1" applyAlignment="1">
      <alignment horizontal="center"/>
    </xf>
    <xf numFmtId="0" fontId="5" fillId="0" borderId="0" xfId="40" applyFont="1" applyFill="1" applyBorder="1" applyAlignment="1">
      <alignment horizontal="center"/>
    </xf>
    <xf numFmtId="4" fontId="7" fillId="0" borderId="0" xfId="0" applyNumberFormat="1" applyFont="1" applyFill="1" applyBorder="1" applyAlignment="1">
      <alignment horizontal="center"/>
    </xf>
    <xf numFmtId="3" fontId="21" fillId="0" borderId="0" xfId="0" applyNumberFormat="1" applyFont="1" applyFill="1" applyBorder="1" applyAlignment="1">
      <alignment horizontal="center" wrapText="1"/>
    </xf>
    <xf numFmtId="0" fontId="5" fillId="0" borderId="0" xfId="40" applyFont="1" applyFill="1" applyBorder="1" applyAlignment="1">
      <alignment vertical="center" wrapText="1"/>
    </xf>
    <xf numFmtId="164" fontId="5" fillId="24" borderId="34" xfId="40" applyNumberFormat="1" applyFont="1" applyFill="1" applyBorder="1" applyAlignment="1">
      <alignment horizontal="center"/>
    </xf>
    <xf numFmtId="9" fontId="6" fillId="24" borderId="34" xfId="40" applyNumberFormat="1" applyFont="1" applyFill="1" applyBorder="1" applyAlignment="1">
      <alignment horizontal="center"/>
    </xf>
    <xf numFmtId="164" fontId="5" fillId="24" borderId="35" xfId="40" applyNumberFormat="1" applyFont="1" applyFill="1" applyBorder="1" applyAlignment="1">
      <alignment horizontal="center"/>
    </xf>
    <xf numFmtId="9" fontId="5" fillId="24" borderId="36" xfId="40" applyNumberFormat="1" applyFont="1" applyFill="1" applyBorder="1" applyAlignment="1">
      <alignment horizontal="center"/>
    </xf>
    <xf numFmtId="164" fontId="5" fillId="24" borderId="37" xfId="40" applyNumberFormat="1" applyFont="1" applyFill="1" applyBorder="1" applyAlignment="1">
      <alignment horizontal="center"/>
    </xf>
    <xf numFmtId="9" fontId="6" fillId="24" borderId="28" xfId="40" applyNumberFormat="1" applyFont="1" applyFill="1" applyBorder="1" applyAlignment="1">
      <alignment horizontal="center"/>
    </xf>
    <xf numFmtId="9" fontId="5" fillId="24" borderId="35" xfId="40" applyNumberFormat="1" applyFont="1" applyFill="1" applyBorder="1" applyAlignment="1">
      <alignment horizontal="center"/>
    </xf>
    <xf numFmtId="9" fontId="5" fillId="24" borderId="37" xfId="40" applyNumberFormat="1" applyFont="1" applyFill="1" applyBorder="1" applyAlignment="1">
      <alignment horizontal="center"/>
    </xf>
    <xf numFmtId="9" fontId="6" fillId="24" borderId="21" xfId="40" applyNumberFormat="1" applyFont="1" applyFill="1" applyBorder="1" applyAlignment="1">
      <alignment horizontal="center"/>
    </xf>
    <xf numFmtId="3" fontId="9" fillId="0" borderId="22" xfId="40" applyNumberFormat="1" applyFont="1" applyBorder="1" applyAlignment="1">
      <alignment horizontal="center"/>
    </xf>
    <xf numFmtId="3" fontId="9" fillId="0" borderId="20" xfId="40" applyNumberFormat="1" applyFont="1" applyBorder="1" applyAlignment="1">
      <alignment horizontal="center"/>
    </xf>
    <xf numFmtId="0" fontId="6" fillId="0" borderId="0" xfId="40" applyFont="1" applyFill="1"/>
    <xf numFmtId="9" fontId="6" fillId="0" borderId="0" xfId="40" applyNumberFormat="1" applyFont="1" applyAlignment="1">
      <alignment horizontal="center"/>
    </xf>
    <xf numFmtId="0" fontId="5" fillId="0" borderId="32" xfId="40" applyFont="1" applyBorder="1" applyAlignment="1"/>
    <xf numFmtId="0" fontId="5" fillId="0" borderId="32" xfId="40" applyFont="1" applyFill="1" applyBorder="1" applyAlignment="1"/>
    <xf numFmtId="0" fontId="5" fillId="0" borderId="38" xfId="40" applyFont="1" applyFill="1" applyBorder="1" applyAlignment="1">
      <alignment horizontal="center"/>
    </xf>
    <xf numFmtId="6" fontId="5" fillId="0" borderId="0" xfId="40" applyNumberFormat="1" applyFont="1" applyFill="1" applyBorder="1" applyAlignment="1">
      <alignment horizontal="center"/>
    </xf>
    <xf numFmtId="6" fontId="5" fillId="0" borderId="39" xfId="40" applyNumberFormat="1" applyFont="1" applyFill="1" applyBorder="1" applyAlignment="1">
      <alignment horizontal="center"/>
    </xf>
    <xf numFmtId="38" fontId="5" fillId="0" borderId="40" xfId="40" applyNumberFormat="1" applyFont="1" applyFill="1" applyBorder="1" applyAlignment="1">
      <alignment horizontal="center"/>
    </xf>
    <xf numFmtId="40" fontId="5" fillId="0" borderId="41" xfId="40" applyNumberFormat="1" applyFont="1" applyFill="1" applyBorder="1" applyAlignment="1">
      <alignment horizontal="center"/>
    </xf>
    <xf numFmtId="38" fontId="5" fillId="0" borderId="42" xfId="40" applyNumberFormat="1" applyFont="1" applyFill="1" applyBorder="1" applyAlignment="1">
      <alignment horizontal="center"/>
    </xf>
    <xf numFmtId="38" fontId="5" fillId="0" borderId="43" xfId="40" applyNumberFormat="1" applyFont="1" applyFill="1" applyBorder="1" applyAlignment="1">
      <alignment horizontal="center"/>
    </xf>
    <xf numFmtId="38" fontId="5" fillId="0" borderId="0" xfId="40" applyNumberFormat="1" applyFont="1" applyFill="1" applyBorder="1" applyAlignment="1">
      <alignment horizontal="center"/>
    </xf>
    <xf numFmtId="9" fontId="6" fillId="0" borderId="0" xfId="40" applyNumberFormat="1" applyFont="1" applyFill="1" applyAlignment="1">
      <alignment horizontal="center"/>
    </xf>
    <xf numFmtId="0" fontId="5" fillId="0" borderId="0" xfId="40" applyFont="1" applyBorder="1" applyAlignment="1"/>
    <xf numFmtId="0" fontId="5" fillId="24" borderId="12" xfId="40" applyFont="1" applyFill="1" applyBorder="1" applyAlignment="1">
      <alignment horizontal="center"/>
    </xf>
    <xf numFmtId="0" fontId="5" fillId="24" borderId="44" xfId="40" applyFont="1" applyFill="1" applyBorder="1" applyAlignment="1">
      <alignment horizontal="center"/>
    </xf>
    <xf numFmtId="0" fontId="5" fillId="24" borderId="12" xfId="40" applyFont="1" applyFill="1" applyBorder="1" applyAlignment="1">
      <alignment horizontal="left"/>
    </xf>
    <xf numFmtId="164" fontId="6" fillId="24" borderId="22" xfId="40" applyNumberFormat="1" applyFont="1" applyFill="1" applyBorder="1" applyAlignment="1">
      <alignment horizontal="center"/>
    </xf>
    <xf numFmtId="164" fontId="6" fillId="24" borderId="21" xfId="40" applyNumberFormat="1" applyFont="1" applyFill="1" applyBorder="1" applyAlignment="1">
      <alignment horizontal="center"/>
    </xf>
    <xf numFmtId="164" fontId="6" fillId="24" borderId="28" xfId="40" applyNumberFormat="1" applyFont="1" applyFill="1" applyBorder="1" applyAlignment="1">
      <alignment horizontal="center"/>
    </xf>
    <xf numFmtId="164" fontId="6" fillId="24" borderId="34" xfId="40" applyNumberFormat="1" applyFont="1" applyFill="1" applyBorder="1" applyAlignment="1">
      <alignment horizontal="center"/>
    </xf>
    <xf numFmtId="4" fontId="4" fillId="24" borderId="45" xfId="0" applyNumberFormat="1" applyFont="1" applyFill="1" applyBorder="1" applyAlignment="1">
      <alignment horizontal="center"/>
    </xf>
    <xf numFmtId="4" fontId="4" fillId="24" borderId="46" xfId="0" applyNumberFormat="1" applyFont="1" applyFill="1" applyBorder="1" applyAlignment="1">
      <alignment horizontal="center"/>
    </xf>
    <xf numFmtId="4" fontId="4" fillId="24" borderId="47" xfId="0" applyNumberFormat="1" applyFont="1" applyFill="1" applyBorder="1" applyAlignment="1">
      <alignment horizontal="center"/>
    </xf>
    <xf numFmtId="3" fontId="4" fillId="24" borderId="28" xfId="0" applyNumberFormat="1" applyFont="1" applyFill="1" applyBorder="1" applyAlignment="1">
      <alignment horizontal="center"/>
    </xf>
    <xf numFmtId="3" fontId="4" fillId="24" borderId="48" xfId="0" applyNumberFormat="1" applyFont="1" applyFill="1" applyBorder="1" applyAlignment="1">
      <alignment horizontal="center"/>
    </xf>
    <xf numFmtId="3" fontId="4" fillId="24" borderId="10" xfId="0" applyNumberFormat="1" applyFont="1" applyFill="1" applyBorder="1" applyAlignment="1">
      <alignment horizontal="center"/>
    </xf>
    <xf numFmtId="3" fontId="4" fillId="24" borderId="35" xfId="0" applyNumberFormat="1" applyFont="1" applyFill="1" applyBorder="1" applyAlignment="1">
      <alignment horizontal="center"/>
    </xf>
    <xf numFmtId="3" fontId="4" fillId="24" borderId="49" xfId="0" applyNumberFormat="1" applyFont="1" applyFill="1" applyBorder="1" applyAlignment="1">
      <alignment horizontal="center"/>
    </xf>
    <xf numFmtId="3" fontId="4" fillId="24" borderId="25" xfId="0" applyNumberFormat="1" applyFont="1" applyFill="1" applyBorder="1" applyAlignment="1">
      <alignment horizontal="center"/>
    </xf>
    <xf numFmtId="3" fontId="4" fillId="24" borderId="20" xfId="0" applyNumberFormat="1" applyFont="1" applyFill="1" applyBorder="1" applyAlignment="1">
      <alignment horizontal="center"/>
    </xf>
    <xf numFmtId="3" fontId="4" fillId="24" borderId="23" xfId="0" applyNumberFormat="1" applyFont="1" applyFill="1" applyBorder="1" applyAlignment="1">
      <alignment horizontal="center"/>
    </xf>
    <xf numFmtId="3" fontId="6" fillId="24" borderId="36" xfId="40" applyNumberFormat="1" applyFont="1" applyFill="1" applyBorder="1" applyAlignment="1">
      <alignment horizontal="center"/>
    </xf>
    <xf numFmtId="0" fontId="23" fillId="24" borderId="11" xfId="40" applyFont="1" applyFill="1" applyBorder="1" applyAlignment="1">
      <alignment horizontal="center" vertical="top" wrapText="1"/>
    </xf>
    <xf numFmtId="0" fontId="23" fillId="0" borderId="11" xfId="40" applyFont="1" applyBorder="1" applyAlignment="1">
      <alignment horizontal="center"/>
    </xf>
    <xf numFmtId="0" fontId="23" fillId="24" borderId="12" xfId="40" applyFont="1" applyFill="1" applyBorder="1" applyAlignment="1">
      <alignment horizontal="center" wrapText="1"/>
    </xf>
    <xf numFmtId="0" fontId="23" fillId="24" borderId="15" xfId="40" applyFont="1" applyFill="1" applyBorder="1" applyAlignment="1">
      <alignment horizontal="center" vertical="center"/>
    </xf>
    <xf numFmtId="3" fontId="18" fillId="24" borderId="28" xfId="40" applyNumberFormat="1" applyFont="1" applyFill="1" applyBorder="1" applyAlignment="1">
      <alignment horizontal="center"/>
    </xf>
    <xf numFmtId="3" fontId="18" fillId="24" borderId="34" xfId="40" applyNumberFormat="1" applyFont="1" applyFill="1" applyBorder="1" applyAlignment="1">
      <alignment horizontal="center"/>
    </xf>
    <xf numFmtId="3" fontId="18" fillId="24" borderId="23" xfId="40" applyNumberFormat="1" applyFont="1" applyFill="1" applyBorder="1" applyAlignment="1">
      <alignment horizontal="center"/>
    </xf>
    <xf numFmtId="0" fontId="5" fillId="24" borderId="34" xfId="40" applyFont="1" applyFill="1" applyBorder="1" applyAlignment="1">
      <alignment horizontal="center"/>
    </xf>
    <xf numFmtId="0" fontId="5" fillId="24" borderId="10" xfId="40" applyFont="1" applyFill="1" applyBorder="1" applyAlignment="1">
      <alignment horizontal="center"/>
    </xf>
    <xf numFmtId="0" fontId="5" fillId="24" borderId="28" xfId="40" applyFont="1" applyFill="1" applyBorder="1" applyAlignment="1">
      <alignment horizontal="center"/>
    </xf>
    <xf numFmtId="0" fontId="5" fillId="24" borderId="23" xfId="40" applyFont="1" applyFill="1" applyBorder="1" applyAlignment="1">
      <alignment horizontal="center"/>
    </xf>
    <xf numFmtId="3" fontId="9" fillId="24" borderId="28" xfId="40" applyNumberFormat="1" applyFont="1" applyFill="1" applyBorder="1" applyAlignment="1">
      <alignment horizontal="right"/>
    </xf>
    <xf numFmtId="3" fontId="9" fillId="24" borderId="23" xfId="40" applyNumberFormat="1" applyFont="1" applyFill="1" applyBorder="1" applyAlignment="1">
      <alignment horizontal="right"/>
    </xf>
    <xf numFmtId="0" fontId="5" fillId="24" borderId="47" xfId="40" applyFont="1" applyFill="1" applyBorder="1" applyAlignment="1">
      <alignment horizontal="center"/>
    </xf>
    <xf numFmtId="4" fontId="9" fillId="24" borderId="28" xfId="40" applyNumberFormat="1" applyFont="1" applyFill="1" applyBorder="1" applyAlignment="1">
      <alignment horizontal="center"/>
    </xf>
    <xf numFmtId="4" fontId="9" fillId="24" borderId="23" xfId="40" applyNumberFormat="1" applyFont="1" applyFill="1" applyBorder="1" applyAlignment="1">
      <alignment horizontal="center"/>
    </xf>
    <xf numFmtId="3" fontId="9" fillId="24" borderId="28" xfId="40" applyNumberFormat="1" applyFont="1" applyFill="1" applyBorder="1" applyAlignment="1">
      <alignment horizontal="center"/>
    </xf>
    <xf numFmtId="3" fontId="9" fillId="24" borderId="23" xfId="40" applyNumberFormat="1" applyFont="1" applyFill="1" applyBorder="1" applyAlignment="1">
      <alignment horizontal="center"/>
    </xf>
    <xf numFmtId="0" fontId="10" fillId="24" borderId="23" xfId="40" applyFont="1" applyFill="1" applyBorder="1" applyAlignment="1">
      <alignment horizontal="center"/>
    </xf>
    <xf numFmtId="9" fontId="9" fillId="0" borderId="50" xfId="40" applyNumberFormat="1" applyFont="1" applyBorder="1" applyAlignment="1">
      <alignment horizontal="center"/>
    </xf>
    <xf numFmtId="0" fontId="6" fillId="0" borderId="0" xfId="40" applyFont="1" applyBorder="1" applyAlignment="1">
      <alignment horizontal="center"/>
    </xf>
    <xf numFmtId="0" fontId="3" fillId="0" borderId="0" xfId="40"/>
    <xf numFmtId="0" fontId="3" fillId="0" borderId="0" xfId="40" applyAlignment="1">
      <alignment horizontal="center"/>
    </xf>
    <xf numFmtId="0" fontId="46" fillId="24" borderId="41" xfId="40" applyFont="1" applyFill="1" applyBorder="1" applyAlignment="1">
      <alignment horizontal="center"/>
    </xf>
    <xf numFmtId="0" fontId="46" fillId="24" borderId="51" xfId="40" applyFont="1" applyFill="1" applyBorder="1" applyAlignment="1">
      <alignment horizontal="center"/>
    </xf>
    <xf numFmtId="0" fontId="46" fillId="24" borderId="40" xfId="40" applyFont="1" applyFill="1" applyBorder="1" applyAlignment="1">
      <alignment horizontal="center"/>
    </xf>
    <xf numFmtId="38" fontId="46" fillId="0" borderId="32" xfId="40" applyNumberFormat="1" applyFont="1" applyBorder="1" applyAlignment="1">
      <alignment horizontal="center"/>
    </xf>
    <xf numFmtId="38" fontId="46" fillId="0" borderId="38" xfId="40" applyNumberFormat="1" applyFont="1" applyBorder="1" applyAlignment="1">
      <alignment horizontal="center"/>
    </xf>
    <xf numFmtId="38" fontId="46" fillId="0" borderId="0" xfId="40" applyNumberFormat="1" applyFont="1" applyBorder="1" applyAlignment="1">
      <alignment horizontal="center"/>
    </xf>
    <xf numFmtId="38" fontId="46" fillId="0" borderId="39" xfId="40" applyNumberFormat="1" applyFont="1" applyBorder="1" applyAlignment="1">
      <alignment horizontal="center"/>
    </xf>
    <xf numFmtId="38" fontId="46" fillId="0" borderId="51" xfId="40" applyNumberFormat="1" applyFont="1" applyBorder="1" applyAlignment="1">
      <alignment horizontal="center"/>
    </xf>
    <xf numFmtId="38" fontId="46" fillId="0" borderId="40" xfId="40" applyNumberFormat="1" applyFont="1" applyBorder="1" applyAlignment="1">
      <alignment horizontal="center"/>
    </xf>
    <xf numFmtId="0" fontId="4" fillId="0" borderId="0" xfId="40" applyFont="1" applyFill="1" applyBorder="1"/>
    <xf numFmtId="0" fontId="5" fillId="0" borderId="17" xfId="40" applyFont="1" applyBorder="1" applyAlignment="1">
      <alignment horizontal="center" vertical="center"/>
    </xf>
    <xf numFmtId="0" fontId="23" fillId="0" borderId="15" xfId="40" applyFont="1" applyBorder="1" applyAlignment="1">
      <alignment horizontal="center" vertical="center"/>
    </xf>
    <xf numFmtId="6" fontId="5" fillId="0" borderId="51" xfId="40" applyNumberFormat="1" applyFont="1" applyFill="1" applyBorder="1" applyAlignment="1">
      <alignment horizontal="center" vertical="center"/>
    </xf>
    <xf numFmtId="6" fontId="5" fillId="0" borderId="40" xfId="40" applyNumberFormat="1" applyFont="1" applyFill="1" applyBorder="1" applyAlignment="1">
      <alignment horizontal="center" vertical="center"/>
    </xf>
    <xf numFmtId="38" fontId="5" fillId="0" borderId="42" xfId="40" applyNumberFormat="1" applyFont="1" applyFill="1" applyBorder="1" applyAlignment="1">
      <alignment horizontal="center" vertical="center"/>
    </xf>
    <xf numFmtId="38" fontId="5" fillId="0" borderId="43" xfId="40" applyNumberFormat="1" applyFont="1" applyFill="1" applyBorder="1" applyAlignment="1">
      <alignment horizontal="center" vertical="center"/>
    </xf>
    <xf numFmtId="6" fontId="5" fillId="24" borderId="34" xfId="40" applyNumberFormat="1" applyFont="1" applyFill="1" applyBorder="1" applyAlignment="1">
      <alignment horizontal="center"/>
    </xf>
    <xf numFmtId="9" fontId="5" fillId="24" borderId="43" xfId="40" applyNumberFormat="1" applyFont="1" applyFill="1" applyBorder="1" applyAlignment="1">
      <alignment horizontal="center"/>
    </xf>
    <xf numFmtId="6" fontId="6" fillId="0" borderId="0" xfId="40" applyNumberFormat="1" applyFont="1" applyFill="1" applyBorder="1" applyAlignment="1">
      <alignment horizontal="center"/>
    </xf>
    <xf numFmtId="40" fontId="5" fillId="24" borderId="42" xfId="40" applyNumberFormat="1" applyFont="1" applyFill="1" applyBorder="1" applyAlignment="1">
      <alignment horizontal="center"/>
    </xf>
    <xf numFmtId="38" fontId="5" fillId="24" borderId="43" xfId="40" applyNumberFormat="1" applyFont="1" applyFill="1" applyBorder="1" applyAlignment="1">
      <alignment horizontal="center"/>
    </xf>
    <xf numFmtId="9" fontId="7" fillId="24" borderId="42" xfId="40" applyNumberFormat="1" applyFont="1" applyFill="1" applyBorder="1" applyAlignment="1">
      <alignment horizontal="center"/>
    </xf>
    <xf numFmtId="9" fontId="7" fillId="24" borderId="43" xfId="40" applyNumberFormat="1" applyFont="1" applyFill="1" applyBorder="1" applyAlignment="1">
      <alignment horizontal="center"/>
    </xf>
    <xf numFmtId="38" fontId="6" fillId="0" borderId="0" xfId="40" applyNumberFormat="1" applyFont="1" applyFill="1" applyBorder="1" applyAlignment="1">
      <alignment horizontal="center"/>
    </xf>
    <xf numFmtId="38" fontId="5" fillId="24" borderId="34" xfId="40" applyNumberFormat="1" applyFont="1" applyFill="1" applyBorder="1" applyAlignment="1">
      <alignment horizontal="center"/>
    </xf>
    <xf numFmtId="0" fontId="20" fillId="24" borderId="47" xfId="40" applyFont="1" applyFill="1" applyBorder="1" applyAlignment="1">
      <alignment horizontal="center"/>
    </xf>
    <xf numFmtId="165" fontId="18" fillId="24" borderId="50" xfId="40" applyNumberFormat="1" applyFont="1" applyFill="1" applyBorder="1" applyAlignment="1">
      <alignment horizontal="center"/>
    </xf>
    <xf numFmtId="165" fontId="18" fillId="24" borderId="23" xfId="40" applyNumberFormat="1" applyFont="1" applyFill="1" applyBorder="1" applyAlignment="1">
      <alignment horizontal="center"/>
    </xf>
    <xf numFmtId="38" fontId="46" fillId="0" borderId="31" xfId="40" applyNumberFormat="1" applyFont="1" applyBorder="1" applyAlignment="1">
      <alignment horizontal="center"/>
    </xf>
    <xf numFmtId="38" fontId="46" fillId="0" borderId="33" xfId="40" applyNumberFormat="1" applyFont="1" applyBorder="1" applyAlignment="1">
      <alignment horizontal="center"/>
    </xf>
    <xf numFmtId="38" fontId="46" fillId="0" borderId="41" xfId="40" applyNumberFormat="1" applyFont="1" applyBorder="1" applyAlignment="1">
      <alignment horizontal="center"/>
    </xf>
    <xf numFmtId="0" fontId="0" fillId="0" borderId="0" xfId="0" applyAlignment="1">
      <alignment horizontal="center"/>
    </xf>
    <xf numFmtId="0" fontId="7" fillId="0" borderId="0" xfId="0" applyFont="1" applyAlignment="1">
      <alignment horizontal="center" wrapText="1"/>
    </xf>
    <xf numFmtId="0" fontId="2" fillId="24" borderId="52" xfId="40" applyFont="1" applyFill="1" applyBorder="1" applyAlignment="1">
      <alignment horizontal="centerContinuous"/>
    </xf>
    <xf numFmtId="0" fontId="2" fillId="24" borderId="53" xfId="40" applyFont="1" applyFill="1" applyBorder="1" applyAlignment="1">
      <alignment horizontal="centerContinuous"/>
    </xf>
    <xf numFmtId="0" fontId="5" fillId="0" borderId="54" xfId="40" applyFont="1" applyBorder="1" applyAlignment="1"/>
    <xf numFmtId="9" fontId="6" fillId="0" borderId="55" xfId="40" applyNumberFormat="1" applyFont="1" applyBorder="1" applyAlignment="1">
      <alignment horizontal="center"/>
    </xf>
    <xf numFmtId="9" fontId="5" fillId="0" borderId="56" xfId="40" applyNumberFormat="1" applyFont="1" applyFill="1" applyBorder="1" applyAlignment="1">
      <alignment horizontal="center"/>
    </xf>
    <xf numFmtId="6" fontId="5" fillId="0" borderId="57" xfId="40" applyNumberFormat="1" applyFont="1" applyFill="1" applyBorder="1" applyAlignment="1">
      <alignment horizontal="center"/>
    </xf>
    <xf numFmtId="9" fontId="5" fillId="0" borderId="55" xfId="40" applyNumberFormat="1" applyFont="1" applyFill="1" applyBorder="1" applyAlignment="1">
      <alignment horizontal="center"/>
    </xf>
    <xf numFmtId="6" fontId="5" fillId="0" borderId="58" xfId="40" applyNumberFormat="1" applyFont="1" applyFill="1" applyBorder="1" applyAlignment="1">
      <alignment horizontal="center" vertical="center"/>
    </xf>
    <xf numFmtId="9" fontId="5" fillId="0" borderId="59" xfId="40" applyNumberFormat="1" applyFont="1" applyFill="1" applyBorder="1" applyAlignment="1">
      <alignment horizontal="center" vertical="center"/>
    </xf>
    <xf numFmtId="6" fontId="5" fillId="24" borderId="60" xfId="40" applyNumberFormat="1" applyFont="1" applyFill="1" applyBorder="1" applyAlignment="1">
      <alignment horizontal="center"/>
    </xf>
    <xf numFmtId="9" fontId="5" fillId="24" borderId="61" xfId="40" applyNumberFormat="1" applyFont="1" applyFill="1" applyBorder="1" applyAlignment="1">
      <alignment horizontal="center"/>
    </xf>
    <xf numFmtId="0" fontId="5" fillId="0" borderId="57" xfId="40" applyFont="1" applyFill="1" applyBorder="1" applyAlignment="1"/>
    <xf numFmtId="9" fontId="6" fillId="0" borderId="55" xfId="40" applyNumberFormat="1" applyFont="1" applyFill="1" applyBorder="1" applyAlignment="1">
      <alignment horizontal="center"/>
    </xf>
    <xf numFmtId="0" fontId="6" fillId="0" borderId="57" xfId="40" applyFont="1" applyBorder="1"/>
    <xf numFmtId="0" fontId="49" fillId="0" borderId="0" xfId="0" applyFont="1" applyAlignment="1">
      <alignment horizontal="center"/>
    </xf>
    <xf numFmtId="0" fontId="49" fillId="0" borderId="0" xfId="0" applyFont="1"/>
    <xf numFmtId="0" fontId="49" fillId="0" borderId="0" xfId="0" applyFont="1" applyAlignment="1">
      <alignment horizontal="center" wrapText="1"/>
    </xf>
    <xf numFmtId="0" fontId="24" fillId="0" borderId="0" xfId="40" applyFont="1" applyFill="1" applyBorder="1" applyAlignment="1">
      <alignment horizontal="center"/>
    </xf>
    <xf numFmtId="0" fontId="9" fillId="0" borderId="0" xfId="40" applyFont="1" applyBorder="1"/>
    <xf numFmtId="0" fontId="6" fillId="0" borderId="62" xfId="40" applyFont="1" applyBorder="1"/>
    <xf numFmtId="0" fontId="6" fillId="0" borderId="63" xfId="40" applyFont="1" applyBorder="1"/>
    <xf numFmtId="0" fontId="5" fillId="24" borderId="64" xfId="40" applyFont="1" applyFill="1" applyBorder="1" applyAlignment="1">
      <alignment horizontal="center"/>
    </xf>
    <xf numFmtId="0" fontId="5" fillId="24" borderId="65" xfId="40" applyFont="1" applyFill="1" applyBorder="1" applyAlignment="1">
      <alignment horizontal="center"/>
    </xf>
    <xf numFmtId="0" fontId="5" fillId="24" borderId="66" xfId="40" applyFont="1" applyFill="1" applyBorder="1"/>
    <xf numFmtId="0" fontId="5" fillId="24" borderId="67" xfId="40" applyFont="1" applyFill="1" applyBorder="1" applyAlignment="1">
      <alignment horizontal="center"/>
    </xf>
    <xf numFmtId="0" fontId="5" fillId="24" borderId="68" xfId="40" applyFont="1" applyFill="1" applyBorder="1"/>
    <xf numFmtId="0" fontId="5" fillId="24" borderId="67" xfId="40" applyFont="1" applyFill="1" applyBorder="1"/>
    <xf numFmtId="0" fontId="5" fillId="24" borderId="69" xfId="40" applyFont="1" applyFill="1" applyBorder="1" applyAlignment="1">
      <alignment horizontal="center"/>
    </xf>
    <xf numFmtId="0" fontId="6" fillId="0" borderId="70" xfId="40" applyFont="1" applyBorder="1"/>
    <xf numFmtId="0" fontId="9" fillId="0" borderId="70" xfId="40" applyFont="1" applyBorder="1"/>
    <xf numFmtId="0" fontId="6" fillId="0" borderId="70" xfId="40" applyFont="1" applyBorder="1" applyAlignment="1">
      <alignment horizontal="center"/>
    </xf>
    <xf numFmtId="0" fontId="5" fillId="24" borderId="68" xfId="40" applyFont="1" applyFill="1" applyBorder="1" applyAlignment="1">
      <alignment horizontal="center"/>
    </xf>
    <xf numFmtId="0" fontId="5" fillId="24" borderId="71" xfId="40" applyFont="1" applyFill="1" applyBorder="1" applyAlignment="1">
      <alignment horizontal="center"/>
    </xf>
    <xf numFmtId="0" fontId="5" fillId="0" borderId="72" xfId="40" applyFont="1" applyBorder="1"/>
    <xf numFmtId="0" fontId="5" fillId="0" borderId="72" xfId="40" applyFont="1" applyBorder="1" applyAlignment="1">
      <alignment horizontal="center"/>
    </xf>
    <xf numFmtId="0" fontId="6" fillId="0" borderId="72" xfId="40" applyFont="1" applyBorder="1"/>
    <xf numFmtId="0" fontId="9" fillId="0" borderId="0" xfId="40" applyFont="1" applyFill="1" applyBorder="1"/>
    <xf numFmtId="0" fontId="9" fillId="0" borderId="0" xfId="40" applyFont="1" applyBorder="1" applyAlignment="1">
      <alignment horizontal="center"/>
    </xf>
    <xf numFmtId="0" fontId="9" fillId="0" borderId="70" xfId="40" applyFont="1" applyFill="1" applyBorder="1"/>
    <xf numFmtId="0" fontId="10" fillId="0" borderId="70" xfId="40" applyFont="1" applyBorder="1" applyAlignment="1">
      <alignment horizontal="center"/>
    </xf>
    <xf numFmtId="0" fontId="0" fillId="0" borderId="0" xfId="0" applyAlignment="1">
      <alignment horizontal="centerContinuous"/>
    </xf>
    <xf numFmtId="0" fontId="52" fillId="0" borderId="0" xfId="0" applyFont="1" applyAlignment="1">
      <alignment horizontal="centerContinuous"/>
    </xf>
    <xf numFmtId="0" fontId="53" fillId="0" borderId="0" xfId="0" applyFont="1" applyAlignment="1">
      <alignment horizontal="centerContinuous"/>
    </xf>
    <xf numFmtId="0" fontId="0" fillId="0" borderId="0" xfId="0" quotePrefix="1"/>
    <xf numFmtId="0" fontId="0" fillId="25" borderId="34" xfId="0" applyFill="1" applyBorder="1"/>
    <xf numFmtId="0" fontId="0" fillId="26" borderId="34" xfId="0" applyFill="1" applyBorder="1"/>
    <xf numFmtId="0" fontId="6" fillId="0" borderId="19" xfId="40" applyFont="1" applyBorder="1"/>
    <xf numFmtId="0" fontId="54" fillId="0" borderId="0" xfId="40" applyFont="1"/>
    <xf numFmtId="0" fontId="54" fillId="0" borderId="0" xfId="40" applyFont="1" applyAlignment="1">
      <alignment horizontal="center"/>
    </xf>
    <xf numFmtId="0" fontId="8" fillId="0" borderId="0" xfId="36" applyAlignment="1" applyProtection="1">
      <alignment horizontal="center"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54" fillId="0" borderId="0" xfId="40" applyFont="1" applyBorder="1" applyAlignment="1">
      <alignment horizontal="center"/>
    </xf>
    <xf numFmtId="0" fontId="1" fillId="0" borderId="0" xfId="0" applyFont="1" applyBorder="1"/>
    <xf numFmtId="0" fontId="11" fillId="0" borderId="0" xfId="0" applyFont="1" applyBorder="1"/>
    <xf numFmtId="0" fontId="13" fillId="0" borderId="0" xfId="0" applyFont="1" applyBorder="1"/>
    <xf numFmtId="0" fontId="5" fillId="24" borderId="73" xfId="40" applyFont="1" applyFill="1" applyBorder="1" applyAlignment="1">
      <alignment horizontal="center"/>
    </xf>
    <xf numFmtId="0" fontId="5" fillId="24" borderId="74" xfId="40" applyFont="1" applyFill="1" applyBorder="1" applyAlignment="1">
      <alignment horizontal="center"/>
    </xf>
    <xf numFmtId="10" fontId="9" fillId="0" borderId="75" xfId="40" applyNumberFormat="1" applyFont="1" applyBorder="1" applyAlignment="1">
      <alignment horizontal="center"/>
    </xf>
    <xf numFmtId="10" fontId="9" fillId="0" borderId="76" xfId="40" applyNumberFormat="1" applyFont="1" applyBorder="1" applyAlignment="1">
      <alignment horizontal="center"/>
    </xf>
    <xf numFmtId="0" fontId="5" fillId="24" borderId="77" xfId="40" applyFont="1" applyFill="1" applyBorder="1" applyAlignment="1">
      <alignment horizontal="center"/>
    </xf>
    <xf numFmtId="0" fontId="5" fillId="24" borderId="77" xfId="40" applyFont="1" applyFill="1" applyBorder="1" applyAlignment="1">
      <alignment horizontal="right"/>
    </xf>
    <xf numFmtId="0" fontId="3" fillId="0" borderId="0" xfId="40" applyBorder="1" applyAlignment="1">
      <alignment horizontal="center"/>
    </xf>
    <xf numFmtId="0" fontId="46" fillId="24" borderId="78" xfId="40" applyFont="1" applyFill="1" applyBorder="1" applyAlignment="1">
      <alignment horizontal="center"/>
    </xf>
    <xf numFmtId="0" fontId="46" fillId="24" borderId="79" xfId="40" applyFont="1" applyFill="1" applyBorder="1" applyAlignment="1">
      <alignment horizontal="center"/>
    </xf>
    <xf numFmtId="0" fontId="46" fillId="24" borderId="80" xfId="40" applyFont="1" applyFill="1" applyBorder="1" applyAlignment="1">
      <alignment horizontal="center"/>
    </xf>
    <xf numFmtId="0" fontId="3" fillId="0" borderId="62" xfId="40" applyBorder="1" applyAlignment="1">
      <alignment horizontal="center"/>
    </xf>
    <xf numFmtId="38" fontId="3" fillId="0" borderId="0" xfId="40" applyNumberFormat="1" applyBorder="1" applyAlignment="1">
      <alignment horizontal="center"/>
    </xf>
    <xf numFmtId="38" fontId="3" fillId="0" borderId="63" xfId="40" applyNumberFormat="1" applyBorder="1" applyAlignment="1">
      <alignment horizontal="center"/>
    </xf>
    <xf numFmtId="0" fontId="46" fillId="24" borderId="81" xfId="40" applyFont="1" applyFill="1" applyBorder="1" applyAlignment="1">
      <alignment horizontal="center"/>
    </xf>
    <xf numFmtId="0" fontId="46" fillId="24" borderId="81" xfId="40" applyFont="1" applyFill="1" applyBorder="1" applyAlignment="1">
      <alignment horizontal="center" vertical="center"/>
    </xf>
    <xf numFmtId="0" fontId="0" fillId="0" borderId="33" xfId="0" applyFill="1" applyBorder="1"/>
    <xf numFmtId="0" fontId="0" fillId="24" borderId="34" xfId="0" applyFill="1" applyBorder="1"/>
    <xf numFmtId="0" fontId="46" fillId="24" borderId="82" xfId="40" applyFont="1" applyFill="1" applyBorder="1" applyAlignment="1">
      <alignment horizontal="center"/>
    </xf>
    <xf numFmtId="0" fontId="3" fillId="0" borderId="70" xfId="40" applyBorder="1" applyAlignment="1">
      <alignment horizontal="center"/>
    </xf>
    <xf numFmtId="38" fontId="46" fillId="24" borderId="83" xfId="40" applyNumberFormat="1" applyFont="1" applyFill="1" applyBorder="1" applyAlignment="1">
      <alignment horizontal="center"/>
    </xf>
    <xf numFmtId="38" fontId="46" fillId="24" borderId="84" xfId="40" applyNumberFormat="1" applyFont="1" applyFill="1" applyBorder="1" applyAlignment="1">
      <alignment horizontal="center"/>
    </xf>
    <xf numFmtId="38" fontId="46" fillId="24" borderId="85" xfId="40" applyNumberFormat="1" applyFont="1" applyFill="1" applyBorder="1" applyAlignment="1">
      <alignment horizontal="center"/>
    </xf>
    <xf numFmtId="38" fontId="46" fillId="24" borderId="86" xfId="40" applyNumberFormat="1" applyFont="1" applyFill="1" applyBorder="1" applyAlignment="1">
      <alignment horizontal="center"/>
    </xf>
    <xf numFmtId="3" fontId="9" fillId="0" borderId="34" xfId="40" applyNumberFormat="1" applyFont="1" applyBorder="1" applyAlignment="1">
      <alignment horizontal="center"/>
    </xf>
    <xf numFmtId="3" fontId="9" fillId="0" borderId="21" xfId="40" applyNumberFormat="1" applyFont="1" applyBorder="1" applyAlignment="1">
      <alignment horizontal="center"/>
    </xf>
    <xf numFmtId="0" fontId="23" fillId="24" borderId="11" xfId="40" applyFont="1" applyFill="1" applyBorder="1" applyAlignment="1">
      <alignment horizontal="center" wrapText="1"/>
    </xf>
    <xf numFmtId="0" fontId="0" fillId="0" borderId="0" xfId="0" quotePrefix="1" applyAlignment="1">
      <alignment horizontal="center" vertical="top"/>
    </xf>
    <xf numFmtId="0" fontId="16" fillId="0" borderId="62" xfId="0" applyFont="1" applyBorder="1"/>
    <xf numFmtId="0" fontId="16" fillId="0" borderId="0" xfId="0" applyFont="1" applyBorder="1"/>
    <xf numFmtId="0" fontId="16" fillId="0" borderId="63" xfId="0" applyFont="1" applyBorder="1"/>
    <xf numFmtId="0" fontId="15" fillId="0" borderId="87" xfId="0" applyFont="1" applyBorder="1" applyAlignment="1">
      <alignment horizontal="center"/>
    </xf>
    <xf numFmtId="0" fontId="14" fillId="0" borderId="0" xfId="0" applyFont="1" applyBorder="1"/>
    <xf numFmtId="165" fontId="18" fillId="24" borderId="88" xfId="40" applyNumberFormat="1" applyFont="1" applyFill="1" applyBorder="1" applyAlignment="1">
      <alignment horizontal="center"/>
    </xf>
    <xf numFmtId="165" fontId="18" fillId="24" borderId="89" xfId="40" applyNumberFormat="1" applyFont="1" applyFill="1" applyBorder="1" applyAlignment="1">
      <alignment horizontal="center"/>
    </xf>
    <xf numFmtId="0" fontId="16" fillId="0" borderId="70" xfId="0" applyFont="1" applyBorder="1"/>
    <xf numFmtId="0" fontId="0" fillId="27" borderId="34" xfId="0" applyFill="1" applyBorder="1"/>
    <xf numFmtId="0" fontId="5" fillId="24" borderId="90" xfId="40" applyFont="1" applyFill="1" applyBorder="1" applyAlignment="1">
      <alignment horizontal="center"/>
    </xf>
    <xf numFmtId="0" fontId="23" fillId="24" borderId="65" xfId="40" applyFont="1" applyFill="1" applyBorder="1" applyAlignment="1">
      <alignment horizontal="center" wrapText="1"/>
    </xf>
    <xf numFmtId="0" fontId="23" fillId="24" borderId="74" xfId="40" applyFont="1" applyFill="1" applyBorder="1" applyAlignment="1">
      <alignment horizontal="center" vertical="center"/>
    </xf>
    <xf numFmtId="9" fontId="9" fillId="0" borderId="91" xfId="40" applyNumberFormat="1" applyFont="1" applyFill="1" applyBorder="1" applyAlignment="1">
      <alignment horizontal="center"/>
    </xf>
    <xf numFmtId="9" fontId="9" fillId="0" borderId="89" xfId="40" applyNumberFormat="1" applyFont="1" applyFill="1" applyBorder="1" applyAlignment="1">
      <alignment horizontal="center"/>
    </xf>
    <xf numFmtId="0" fontId="10" fillId="24" borderId="92" xfId="40" applyFont="1" applyFill="1" applyBorder="1" applyAlignment="1">
      <alignment horizontal="center"/>
    </xf>
    <xf numFmtId="0" fontId="10" fillId="24" borderId="18" xfId="40" applyFont="1" applyFill="1" applyBorder="1" applyAlignment="1">
      <alignment horizontal="center"/>
    </xf>
    <xf numFmtId="0" fontId="10" fillId="24" borderId="93" xfId="40" applyFont="1" applyFill="1" applyBorder="1" applyAlignment="1">
      <alignment horizontal="center"/>
    </xf>
    <xf numFmtId="0" fontId="46" fillId="24" borderId="94" xfId="40" applyFont="1" applyFill="1" applyBorder="1" applyAlignment="1">
      <alignment horizontal="center"/>
    </xf>
    <xf numFmtId="0" fontId="3" fillId="0" borderId="0" xfId="40" applyFont="1" applyBorder="1" applyAlignment="1">
      <alignment horizontal="left"/>
    </xf>
    <xf numFmtId="0" fontId="3" fillId="0" borderId="72" xfId="40" applyBorder="1" applyAlignment="1">
      <alignment horizontal="center"/>
    </xf>
    <xf numFmtId="0" fontId="7" fillId="0" borderId="0" xfId="0" applyFont="1" applyFill="1" applyBorder="1"/>
    <xf numFmtId="0" fontId="5" fillId="24" borderId="95" xfId="40" applyFont="1" applyFill="1" applyBorder="1" applyAlignment="1">
      <alignment horizontal="center"/>
    </xf>
    <xf numFmtId="0" fontId="5" fillId="24" borderId="96" xfId="40" applyFont="1" applyFill="1" applyBorder="1" applyAlignment="1">
      <alignment horizontal="center"/>
    </xf>
    <xf numFmtId="0" fontId="20" fillId="24" borderId="17" xfId="40" applyFont="1" applyFill="1" applyBorder="1" applyAlignment="1">
      <alignment horizontal="center"/>
    </xf>
    <xf numFmtId="0" fontId="3" fillId="0" borderId="97" xfId="40" applyBorder="1" applyAlignment="1">
      <alignment horizontal="center"/>
    </xf>
    <xf numFmtId="38" fontId="3" fillId="0" borderId="98" xfId="40" applyNumberFormat="1" applyBorder="1" applyAlignment="1">
      <alignment horizontal="center"/>
    </xf>
    <xf numFmtId="38" fontId="3" fillId="0" borderId="99" xfId="40" applyNumberFormat="1" applyBorder="1" applyAlignment="1">
      <alignment horizontal="center"/>
    </xf>
    <xf numFmtId="0" fontId="6" fillId="25" borderId="34" xfId="40" applyFont="1" applyFill="1" applyBorder="1" applyProtection="1">
      <protection locked="0"/>
    </xf>
    <xf numFmtId="164" fontId="6" fillId="25" borderId="22" xfId="40" applyNumberFormat="1" applyFont="1" applyFill="1" applyBorder="1" applyAlignment="1" applyProtection="1">
      <alignment horizontal="center"/>
      <protection locked="0"/>
    </xf>
    <xf numFmtId="164" fontId="6" fillId="25" borderId="28" xfId="40" applyNumberFormat="1" applyFont="1" applyFill="1" applyBorder="1" applyAlignment="1" applyProtection="1">
      <alignment horizontal="center"/>
      <protection locked="0"/>
    </xf>
    <xf numFmtId="164" fontId="6" fillId="25" borderId="21" xfId="40" applyNumberFormat="1" applyFont="1" applyFill="1" applyBorder="1" applyAlignment="1" applyProtection="1">
      <alignment horizontal="center"/>
      <protection locked="0"/>
    </xf>
    <xf numFmtId="164" fontId="6" fillId="25" borderId="34" xfId="40" applyNumberFormat="1" applyFont="1" applyFill="1" applyBorder="1" applyAlignment="1" applyProtection="1">
      <alignment horizontal="center"/>
      <protection locked="0"/>
    </xf>
    <xf numFmtId="4" fontId="4" fillId="25" borderId="45" xfId="0" applyNumberFormat="1" applyFont="1" applyFill="1" applyBorder="1" applyAlignment="1" applyProtection="1">
      <alignment horizontal="center"/>
      <protection locked="0"/>
    </xf>
    <xf numFmtId="4" fontId="4" fillId="25" borderId="46" xfId="0" applyNumberFormat="1" applyFont="1" applyFill="1" applyBorder="1" applyAlignment="1" applyProtection="1">
      <alignment horizontal="center"/>
      <protection locked="0"/>
    </xf>
    <xf numFmtId="3" fontId="4" fillId="25" borderId="28" xfId="0" applyNumberFormat="1" applyFont="1" applyFill="1" applyBorder="1" applyAlignment="1" applyProtection="1">
      <alignment horizontal="center"/>
      <protection locked="0"/>
    </xf>
    <xf numFmtId="3" fontId="4" fillId="25" borderId="48" xfId="0" applyNumberFormat="1" applyFont="1" applyFill="1" applyBorder="1" applyAlignment="1" applyProtection="1">
      <alignment horizontal="center"/>
      <protection locked="0"/>
    </xf>
    <xf numFmtId="3" fontId="4" fillId="25" borderId="35" xfId="0" applyNumberFormat="1" applyFont="1" applyFill="1" applyBorder="1" applyAlignment="1" applyProtection="1">
      <alignment horizontal="center"/>
      <protection locked="0"/>
    </xf>
    <xf numFmtId="3" fontId="4" fillId="25" borderId="49" xfId="0" applyNumberFormat="1" applyFont="1" applyFill="1" applyBorder="1" applyAlignment="1" applyProtection="1">
      <alignment horizontal="center"/>
      <protection locked="0"/>
    </xf>
    <xf numFmtId="4" fontId="4" fillId="25" borderId="47" xfId="0" applyNumberFormat="1" applyFont="1" applyFill="1" applyBorder="1" applyAlignment="1" applyProtection="1">
      <alignment horizontal="center"/>
      <protection locked="0"/>
    </xf>
    <xf numFmtId="3" fontId="4" fillId="25" borderId="10" xfId="0" applyNumberFormat="1" applyFont="1" applyFill="1" applyBorder="1" applyAlignment="1" applyProtection="1">
      <alignment horizontal="center"/>
      <protection locked="0"/>
    </xf>
    <xf numFmtId="3" fontId="4" fillId="25" borderId="25" xfId="0" applyNumberFormat="1" applyFont="1" applyFill="1" applyBorder="1" applyAlignment="1" applyProtection="1">
      <alignment horizontal="center"/>
      <protection locked="0"/>
    </xf>
    <xf numFmtId="3" fontId="4" fillId="25" borderId="20" xfId="0" applyNumberFormat="1" applyFont="1" applyFill="1" applyBorder="1" applyAlignment="1" applyProtection="1">
      <alignment horizontal="center"/>
      <protection locked="0"/>
    </xf>
    <xf numFmtId="3" fontId="4" fillId="25" borderId="23" xfId="0" applyNumberFormat="1" applyFont="1" applyFill="1" applyBorder="1" applyAlignment="1" applyProtection="1">
      <alignment horizontal="center"/>
      <protection locked="0"/>
    </xf>
    <xf numFmtId="3" fontId="6" fillId="25" borderId="36" xfId="40" applyNumberFormat="1" applyFont="1" applyFill="1" applyBorder="1" applyAlignment="1" applyProtection="1">
      <alignment horizontal="center"/>
      <protection locked="0"/>
    </xf>
    <xf numFmtId="3" fontId="9" fillId="25" borderId="28" xfId="40" applyNumberFormat="1" applyFont="1" applyFill="1" applyBorder="1" applyAlignment="1" applyProtection="1">
      <alignment horizontal="right"/>
      <protection locked="0"/>
    </xf>
    <xf numFmtId="3" fontId="9" fillId="25" borderId="23" xfId="40" applyNumberFormat="1" applyFont="1" applyFill="1" applyBorder="1" applyAlignment="1" applyProtection="1">
      <alignment horizontal="right"/>
      <protection locked="0"/>
    </xf>
    <xf numFmtId="3" fontId="9" fillId="25" borderId="28" xfId="40" applyNumberFormat="1" applyFont="1" applyFill="1" applyBorder="1" applyAlignment="1" applyProtection="1">
      <alignment horizontal="center"/>
      <protection locked="0"/>
    </xf>
    <xf numFmtId="3" fontId="9" fillId="25" borderId="23" xfId="40" applyNumberFormat="1" applyFont="1" applyFill="1" applyBorder="1" applyAlignment="1" applyProtection="1">
      <alignment horizontal="center"/>
      <protection locked="0"/>
    </xf>
    <xf numFmtId="4" fontId="9" fillId="25" borderId="10" xfId="40" applyNumberFormat="1" applyFont="1" applyFill="1" applyBorder="1" applyAlignment="1" applyProtection="1">
      <alignment horizontal="center"/>
      <protection locked="0"/>
    </xf>
    <xf numFmtId="4" fontId="9" fillId="25" borderId="28" xfId="40" applyNumberFormat="1" applyFont="1" applyFill="1" applyBorder="1" applyAlignment="1" applyProtection="1">
      <alignment horizontal="center"/>
      <protection locked="0"/>
    </xf>
    <xf numFmtId="4" fontId="9" fillId="25" borderId="23" xfId="40" applyNumberFormat="1" applyFont="1" applyFill="1" applyBorder="1" applyAlignment="1" applyProtection="1">
      <alignment horizontal="center"/>
      <protection locked="0"/>
    </xf>
    <xf numFmtId="3" fontId="18" fillId="25" borderId="28" xfId="40" applyNumberFormat="1" applyFont="1" applyFill="1" applyBorder="1" applyAlignment="1" applyProtection="1">
      <alignment horizontal="center"/>
      <protection locked="0"/>
    </xf>
    <xf numFmtId="3" fontId="18" fillId="25" borderId="34" xfId="40" applyNumberFormat="1" applyFont="1" applyFill="1" applyBorder="1" applyAlignment="1" applyProtection="1">
      <alignment horizontal="center"/>
      <protection locked="0"/>
    </xf>
    <xf numFmtId="0" fontId="18" fillId="25" borderId="23" xfId="40" applyFont="1" applyFill="1" applyBorder="1" applyAlignment="1" applyProtection="1">
      <alignment horizontal="center"/>
      <protection locked="0"/>
    </xf>
    <xf numFmtId="166" fontId="14" fillId="25" borderId="45" xfId="29" applyNumberFormat="1" applyFont="1" applyFill="1" applyBorder="1" applyProtection="1">
      <protection locked="0"/>
    </xf>
    <xf numFmtId="166" fontId="14" fillId="25" borderId="100" xfId="29" applyNumberFormat="1" applyFont="1" applyFill="1" applyBorder="1" applyProtection="1">
      <protection locked="0"/>
    </xf>
    <xf numFmtId="166" fontId="14" fillId="25" borderId="28" xfId="29" applyNumberFormat="1" applyFont="1" applyFill="1" applyBorder="1" applyProtection="1">
      <protection locked="0"/>
    </xf>
    <xf numFmtId="166" fontId="14" fillId="25" borderId="34" xfId="29" applyNumberFormat="1" applyFont="1" applyFill="1" applyBorder="1" applyProtection="1">
      <protection locked="0"/>
    </xf>
    <xf numFmtId="3" fontId="14" fillId="25" borderId="45" xfId="28" applyNumberFormat="1" applyFont="1" applyFill="1" applyBorder="1" applyAlignment="1" applyProtection="1">
      <alignment horizontal="center"/>
      <protection locked="0"/>
    </xf>
    <xf numFmtId="3" fontId="14" fillId="25" borderId="100" xfId="28" applyNumberFormat="1" applyFont="1" applyFill="1" applyBorder="1" applyAlignment="1" applyProtection="1">
      <alignment horizontal="center"/>
      <protection locked="0"/>
    </xf>
    <xf numFmtId="3" fontId="14" fillId="25" borderId="28" xfId="28" applyNumberFormat="1" applyFont="1" applyFill="1" applyBorder="1" applyAlignment="1" applyProtection="1">
      <alignment horizontal="center"/>
      <protection locked="0"/>
    </xf>
    <xf numFmtId="3" fontId="14" fillId="25" borderId="34" xfId="28" applyNumberFormat="1" applyFont="1" applyFill="1" applyBorder="1" applyAlignment="1" applyProtection="1">
      <alignment horizontal="center"/>
      <protection locked="0"/>
    </xf>
    <xf numFmtId="4" fontId="14" fillId="25" borderId="34" xfId="0" applyNumberFormat="1" applyFont="1" applyFill="1" applyBorder="1" applyAlignment="1" applyProtection="1">
      <alignment horizontal="center"/>
      <protection locked="0"/>
    </xf>
    <xf numFmtId="3" fontId="9" fillId="25" borderId="22" xfId="40" applyNumberFormat="1" applyFont="1" applyFill="1" applyBorder="1" applyAlignment="1" applyProtection="1">
      <alignment horizontal="center"/>
      <protection locked="0"/>
    </xf>
    <xf numFmtId="3" fontId="9" fillId="25" borderId="20" xfId="40" applyNumberFormat="1" applyFont="1" applyFill="1" applyBorder="1" applyAlignment="1" applyProtection="1">
      <alignment horizontal="center"/>
      <protection locked="0"/>
    </xf>
    <xf numFmtId="0" fontId="45" fillId="0" borderId="0" xfId="40" applyFont="1" applyProtection="1">
      <protection locked="0"/>
    </xf>
    <xf numFmtId="0" fontId="45" fillId="0" borderId="0" xfId="40" applyFont="1" applyAlignment="1" applyProtection="1">
      <alignment horizontal="center"/>
      <protection locked="0"/>
    </xf>
    <xf numFmtId="42" fontId="45" fillId="0" borderId="0" xfId="40" applyNumberFormat="1" applyFont="1" applyAlignment="1" applyProtection="1">
      <alignment horizontal="center"/>
      <protection locked="0"/>
    </xf>
    <xf numFmtId="0" fontId="45" fillId="0" borderId="0" xfId="40" applyFont="1" applyFill="1" applyAlignment="1" applyProtection="1">
      <alignment horizontal="center"/>
      <protection locked="0"/>
    </xf>
    <xf numFmtId="38" fontId="45" fillId="0" borderId="0" xfId="40" applyNumberFormat="1" applyFont="1" applyAlignment="1" applyProtection="1">
      <alignment horizontal="center"/>
      <protection locked="0"/>
    </xf>
    <xf numFmtId="40" fontId="45" fillId="0" borderId="0" xfId="40" applyNumberFormat="1" applyFont="1" applyAlignment="1" applyProtection="1">
      <alignment horizontal="center"/>
      <protection locked="0"/>
    </xf>
    <xf numFmtId="0" fontId="45" fillId="0" borderId="0" xfId="40" applyFont="1" applyBorder="1" applyAlignment="1" applyProtection="1">
      <alignment horizontal="left"/>
      <protection locked="0"/>
    </xf>
    <xf numFmtId="0" fontId="45" fillId="0" borderId="0" xfId="40" applyFont="1" applyBorder="1" applyAlignment="1" applyProtection="1">
      <alignment horizontal="center"/>
      <protection locked="0"/>
    </xf>
    <xf numFmtId="42" fontId="45" fillId="0" borderId="0" xfId="40" applyNumberFormat="1" applyFont="1" applyBorder="1" applyAlignment="1" applyProtection="1">
      <alignment horizontal="center"/>
      <protection locked="0"/>
    </xf>
    <xf numFmtId="0" fontId="45" fillId="0" borderId="0" xfId="40" applyFont="1" applyFill="1" applyBorder="1" applyAlignment="1" applyProtection="1">
      <alignment horizontal="center"/>
      <protection locked="0"/>
    </xf>
    <xf numFmtId="38" fontId="45" fillId="0" borderId="0" xfId="40" applyNumberFormat="1" applyFont="1" applyBorder="1" applyAlignment="1" applyProtection="1">
      <alignment horizontal="center"/>
      <protection locked="0"/>
    </xf>
    <xf numFmtId="40" fontId="45" fillId="0" borderId="0" xfId="40" applyNumberFormat="1" applyFont="1" applyBorder="1" applyAlignment="1" applyProtection="1">
      <alignment horizontal="center"/>
      <protection locked="0"/>
    </xf>
    <xf numFmtId="0" fontId="3" fillId="0" borderId="0" xfId="40" applyFont="1" applyProtection="1">
      <protection locked="0"/>
    </xf>
    <xf numFmtId="0" fontId="46" fillId="24" borderId="94" xfId="40" applyFont="1" applyFill="1" applyBorder="1" applyAlignment="1" applyProtection="1">
      <alignment horizontal="center"/>
      <protection locked="0"/>
    </xf>
    <xf numFmtId="0" fontId="46" fillId="0" borderId="72" xfId="40" applyFont="1" applyFill="1" applyBorder="1" applyAlignment="1" applyProtection="1">
      <alignment horizontal="center"/>
      <protection locked="0"/>
    </xf>
    <xf numFmtId="0" fontId="46" fillId="24" borderId="81" xfId="40" applyFont="1" applyFill="1" applyBorder="1" applyAlignment="1" applyProtection="1">
      <alignment horizontal="center"/>
      <protection locked="0"/>
    </xf>
    <xf numFmtId="0" fontId="46" fillId="0" borderId="0" xfId="40" applyFont="1" applyFill="1" applyBorder="1" applyAlignment="1" applyProtection="1">
      <alignment horizontal="center"/>
      <protection locked="0"/>
    </xf>
    <xf numFmtId="38" fontId="47" fillId="24" borderId="101" xfId="40" applyNumberFormat="1" applyFont="1" applyFill="1" applyBorder="1" applyAlignment="1" applyProtection="1">
      <alignment horizontal="center"/>
      <protection locked="0"/>
    </xf>
    <xf numFmtId="40" fontId="47" fillId="24" borderId="102" xfId="40" applyNumberFormat="1" applyFont="1" applyFill="1" applyBorder="1" applyAlignment="1" applyProtection="1">
      <alignment horizontal="center"/>
      <protection locked="0"/>
    </xf>
    <xf numFmtId="0" fontId="46" fillId="24" borderId="79" xfId="40" applyFont="1" applyFill="1" applyBorder="1" applyAlignment="1" applyProtection="1">
      <alignment horizontal="center"/>
      <protection locked="0"/>
    </xf>
    <xf numFmtId="42" fontId="46" fillId="24" borderId="21" xfId="40" applyNumberFormat="1" applyFont="1" applyFill="1" applyBorder="1" applyAlignment="1" applyProtection="1">
      <alignment horizontal="center"/>
      <protection locked="0"/>
    </xf>
    <xf numFmtId="38" fontId="46" fillId="24" borderId="21" xfId="40" applyNumberFormat="1" applyFont="1" applyFill="1" applyBorder="1" applyAlignment="1" applyProtection="1">
      <alignment horizontal="center"/>
      <protection locked="0"/>
    </xf>
    <xf numFmtId="40" fontId="46" fillId="24" borderId="91" xfId="40" applyNumberFormat="1" applyFont="1" applyFill="1" applyBorder="1" applyAlignment="1" applyProtection="1">
      <alignment horizontal="center"/>
      <protection locked="0"/>
    </xf>
    <xf numFmtId="0" fontId="3" fillId="0" borderId="81" xfId="40" applyFont="1" applyFill="1" applyBorder="1" applyAlignment="1" applyProtection="1">
      <alignment horizontal="center" vertical="center"/>
      <protection locked="0"/>
    </xf>
    <xf numFmtId="0" fontId="9" fillId="0" borderId="101" xfId="40" applyNumberFormat="1" applyFont="1" applyBorder="1" applyAlignment="1" applyProtection="1">
      <alignment horizontal="center"/>
      <protection locked="0"/>
    </xf>
    <xf numFmtId="0" fontId="9" fillId="0" borderId="0" xfId="40" applyNumberFormat="1" applyFont="1" applyFill="1" applyBorder="1" applyAlignment="1" applyProtection="1">
      <alignment horizontal="center"/>
      <protection locked="0"/>
    </xf>
    <xf numFmtId="0" fontId="9" fillId="0" borderId="103" xfId="40" applyNumberFormat="1" applyFont="1" applyBorder="1" applyAlignment="1" applyProtection="1">
      <alignment horizontal="center"/>
      <protection locked="0"/>
    </xf>
    <xf numFmtId="0" fontId="9" fillId="0" borderId="104" xfId="40" applyNumberFormat="1" applyFont="1" applyBorder="1" applyAlignment="1" applyProtection="1">
      <alignment horizontal="center"/>
      <protection locked="0"/>
    </xf>
    <xf numFmtId="0" fontId="46" fillId="24" borderId="81" xfId="40" applyFont="1" applyFill="1" applyBorder="1" applyAlignment="1" applyProtection="1">
      <alignment horizontal="center" vertical="center"/>
      <protection locked="0"/>
    </xf>
    <xf numFmtId="0" fontId="9" fillId="0" borderId="103" xfId="40" applyNumberFormat="1" applyFont="1" applyBorder="1" applyAlignment="1" applyProtection="1">
      <alignment horizontal="center" vertical="center" wrapText="1"/>
      <protection locked="0"/>
    </xf>
    <xf numFmtId="0" fontId="9" fillId="0" borderId="104" xfId="40" applyNumberFormat="1" applyFont="1" applyBorder="1" applyAlignment="1" applyProtection="1">
      <alignment horizontal="center" wrapText="1"/>
      <protection locked="0"/>
    </xf>
    <xf numFmtId="0" fontId="46" fillId="0" borderId="81" xfId="40" applyFont="1" applyFill="1" applyBorder="1" applyAlignment="1" applyProtection="1">
      <alignment horizontal="center" vertical="center"/>
      <protection locked="0"/>
    </xf>
    <xf numFmtId="0" fontId="9" fillId="24" borderId="103" xfId="40" applyNumberFormat="1" applyFont="1" applyFill="1" applyBorder="1" applyAlignment="1" applyProtection="1">
      <alignment horizontal="center" wrapText="1"/>
      <protection locked="0"/>
    </xf>
    <xf numFmtId="0" fontId="9" fillId="24" borderId="104" xfId="40" applyNumberFormat="1" applyFont="1" applyFill="1" applyBorder="1" applyAlignment="1" applyProtection="1">
      <alignment horizontal="center" wrapText="1"/>
      <protection locked="0"/>
    </xf>
    <xf numFmtId="0" fontId="9" fillId="0" borderId="104" xfId="40" applyNumberFormat="1" applyFont="1" applyBorder="1" applyAlignment="1" applyProtection="1">
      <alignment horizontal="center" vertical="center" wrapText="1"/>
      <protection locked="0"/>
    </xf>
    <xf numFmtId="0" fontId="45" fillId="0" borderId="70" xfId="40" applyFont="1" applyBorder="1" applyAlignment="1" applyProtection="1">
      <alignment horizontal="center"/>
      <protection locked="0"/>
    </xf>
    <xf numFmtId="0" fontId="3" fillId="24" borderId="105" xfId="40" applyNumberFormat="1" applyFont="1" applyFill="1" applyBorder="1" applyAlignment="1" applyProtection="1">
      <alignment horizontal="center"/>
      <protection locked="0"/>
    </xf>
    <xf numFmtId="0" fontId="3" fillId="0" borderId="70" xfId="40" applyNumberFormat="1" applyFont="1" applyFill="1" applyBorder="1" applyAlignment="1" applyProtection="1">
      <alignment horizontal="center"/>
      <protection locked="0"/>
    </xf>
    <xf numFmtId="0" fontId="3" fillId="24" borderId="106" xfId="40" applyNumberFormat="1" applyFont="1" applyFill="1" applyBorder="1" applyAlignment="1" applyProtection="1">
      <alignment horizontal="center"/>
      <protection locked="0"/>
    </xf>
    <xf numFmtId="42" fontId="46" fillId="24" borderId="107" xfId="40" applyNumberFormat="1" applyFont="1" applyFill="1" applyBorder="1" applyAlignment="1" applyProtection="1">
      <alignment horizontal="center"/>
      <protection locked="0"/>
    </xf>
    <xf numFmtId="38" fontId="46" fillId="24" borderId="107" xfId="40" applyNumberFormat="1" applyFont="1" applyFill="1" applyBorder="1" applyAlignment="1" applyProtection="1">
      <alignment horizontal="center"/>
      <protection locked="0"/>
    </xf>
    <xf numFmtId="40" fontId="46" fillId="24" borderId="108" xfId="40" applyNumberFormat="1" applyFont="1" applyFill="1" applyBorder="1" applyAlignment="1" applyProtection="1">
      <alignment horizontal="center"/>
      <protection locked="0"/>
    </xf>
    <xf numFmtId="42" fontId="46" fillId="24" borderId="103" xfId="40" applyNumberFormat="1" applyFont="1" applyFill="1" applyBorder="1" applyAlignment="1" applyProtection="1">
      <alignment horizontal="center"/>
      <protection locked="0"/>
    </xf>
    <xf numFmtId="38" fontId="46" fillId="24" borderId="103" xfId="40" applyNumberFormat="1" applyFont="1" applyFill="1" applyBorder="1" applyAlignment="1" applyProtection="1">
      <alignment horizontal="center"/>
      <protection locked="0"/>
    </xf>
    <xf numFmtId="40" fontId="46" fillId="24" borderId="104" xfId="40" applyNumberFormat="1" applyFont="1" applyFill="1" applyBorder="1" applyAlignment="1" applyProtection="1">
      <alignment horizontal="center"/>
      <protection locked="0"/>
    </xf>
    <xf numFmtId="0" fontId="3" fillId="24" borderId="109" xfId="40" applyFont="1" applyFill="1" applyBorder="1" applyAlignment="1" applyProtection="1">
      <alignment horizontal="center"/>
      <protection locked="0"/>
    </xf>
    <xf numFmtId="167" fontId="6" fillId="0" borderId="0" xfId="40" applyNumberFormat="1" applyFont="1" applyAlignment="1" applyProtection="1">
      <alignment horizontal="center"/>
      <protection locked="0"/>
    </xf>
    <xf numFmtId="0" fontId="6" fillId="0" borderId="0" xfId="40" applyFont="1" applyAlignment="1" applyProtection="1">
      <alignment horizontal="center"/>
      <protection locked="0"/>
    </xf>
    <xf numFmtId="0" fontId="6" fillId="0" borderId="0" xfId="40" applyFont="1" applyProtection="1">
      <protection locked="0"/>
    </xf>
    <xf numFmtId="0" fontId="6" fillId="0" borderId="0" xfId="40" applyFont="1" applyBorder="1" applyAlignment="1" applyProtection="1">
      <alignment horizontal="center"/>
      <protection locked="0"/>
    </xf>
    <xf numFmtId="0" fontId="6" fillId="0" borderId="0" xfId="40" applyFont="1" applyFill="1" applyBorder="1" applyAlignment="1" applyProtection="1">
      <alignment horizontal="center"/>
      <protection locked="0"/>
    </xf>
    <xf numFmtId="164" fontId="6" fillId="25" borderId="28" xfId="40" applyNumberFormat="1" applyFont="1" applyFill="1" applyBorder="1" applyAlignment="1">
      <alignment horizontal="center"/>
    </xf>
    <xf numFmtId="3" fontId="9" fillId="0" borderId="110" xfId="40" applyNumberFormat="1" applyFont="1" applyBorder="1" applyAlignment="1">
      <alignment horizontal="center"/>
    </xf>
    <xf numFmtId="3" fontId="9" fillId="0" borderId="111" xfId="40" applyNumberFormat="1" applyFont="1" applyBorder="1" applyAlignment="1">
      <alignment horizontal="center"/>
    </xf>
    <xf numFmtId="3" fontId="9" fillId="25" borderId="110" xfId="40" applyNumberFormat="1" applyFont="1" applyFill="1" applyBorder="1" applyAlignment="1" applyProtection="1">
      <alignment horizontal="center"/>
      <protection locked="0"/>
    </xf>
    <xf numFmtId="3" fontId="9" fillId="25" borderId="111" xfId="40" applyNumberFormat="1" applyFont="1" applyFill="1" applyBorder="1" applyAlignment="1" applyProtection="1">
      <alignment horizontal="center"/>
      <protection locked="0"/>
    </xf>
    <xf numFmtId="164" fontId="6" fillId="25" borderId="34" xfId="40" applyNumberFormat="1" applyFont="1" applyFill="1" applyBorder="1" applyAlignment="1">
      <alignment horizontal="center"/>
    </xf>
    <xf numFmtId="0" fontId="5" fillId="0" borderId="12" xfId="40" applyFont="1" applyFill="1" applyBorder="1" applyAlignment="1">
      <alignment horizontal="center" wrapText="1"/>
    </xf>
    <xf numFmtId="3" fontId="9" fillId="25" borderId="34" xfId="40" applyNumberFormat="1" applyFont="1" applyFill="1" applyBorder="1" applyAlignment="1" applyProtection="1">
      <alignment horizontal="right"/>
      <protection locked="0"/>
    </xf>
    <xf numFmtId="3" fontId="9" fillId="25" borderId="112" xfId="40" applyNumberFormat="1" applyFont="1" applyFill="1" applyBorder="1" applyAlignment="1" applyProtection="1">
      <alignment horizontal="right"/>
      <protection locked="0"/>
    </xf>
    <xf numFmtId="3" fontId="9" fillId="25" borderId="113" xfId="40" applyNumberFormat="1" applyFont="1" applyFill="1" applyBorder="1" applyAlignment="1" applyProtection="1">
      <alignment horizontal="right"/>
      <protection locked="0"/>
    </xf>
    <xf numFmtId="3" fontId="9" fillId="25" borderId="114" xfId="40" applyNumberFormat="1" applyFont="1" applyFill="1" applyBorder="1" applyAlignment="1" applyProtection="1">
      <alignment horizontal="right"/>
      <protection locked="0"/>
    </xf>
    <xf numFmtId="3" fontId="9" fillId="24" borderId="113" xfId="40" applyNumberFormat="1" applyFont="1" applyFill="1" applyBorder="1" applyAlignment="1">
      <alignment horizontal="right"/>
    </xf>
    <xf numFmtId="3" fontId="9" fillId="24" borderId="114" xfId="40" applyNumberFormat="1" applyFont="1" applyFill="1" applyBorder="1" applyAlignment="1">
      <alignment horizontal="right"/>
    </xf>
    <xf numFmtId="0" fontId="5" fillId="24" borderId="12" xfId="40" quotePrefix="1" applyFont="1" applyFill="1" applyBorder="1" applyAlignment="1">
      <alignment horizontal="center"/>
    </xf>
    <xf numFmtId="0" fontId="5" fillId="24" borderId="12" xfId="40" quotePrefix="1" applyFont="1" applyFill="1" applyBorder="1" applyAlignment="1">
      <alignment horizontal="left"/>
    </xf>
    <xf numFmtId="38" fontId="46" fillId="0" borderId="31" xfId="40" applyNumberFormat="1" applyFont="1" applyFill="1" applyBorder="1" applyAlignment="1" applyProtection="1">
      <alignment horizontal="center"/>
      <protection locked="0"/>
    </xf>
    <xf numFmtId="38" fontId="46" fillId="0" borderId="32" xfId="40" applyNumberFormat="1" applyFont="1" applyFill="1" applyBorder="1" applyAlignment="1" applyProtection="1">
      <alignment horizontal="center"/>
      <protection locked="0"/>
    </xf>
    <xf numFmtId="38" fontId="46" fillId="0" borderId="115" xfId="40" applyNumberFormat="1" applyFont="1" applyFill="1" applyBorder="1" applyAlignment="1">
      <alignment horizontal="center"/>
    </xf>
    <xf numFmtId="38" fontId="46" fillId="0" borderId="33" xfId="40" applyNumberFormat="1" applyFont="1" applyFill="1" applyBorder="1" applyAlignment="1" applyProtection="1">
      <alignment horizontal="center"/>
      <protection locked="0"/>
    </xf>
    <xf numFmtId="38" fontId="46" fillId="0" borderId="0" xfId="40" applyNumberFormat="1" applyFont="1" applyFill="1" applyBorder="1" applyAlignment="1" applyProtection="1">
      <alignment horizontal="center"/>
      <protection locked="0"/>
    </xf>
    <xf numFmtId="38" fontId="46" fillId="0" borderId="63" xfId="40" applyNumberFormat="1" applyFont="1" applyFill="1" applyBorder="1" applyAlignment="1">
      <alignment horizontal="center"/>
    </xf>
    <xf numFmtId="38" fontId="46" fillId="0" borderId="41" xfId="40" applyNumberFormat="1" applyFont="1" applyFill="1" applyBorder="1" applyAlignment="1" applyProtection="1">
      <alignment horizontal="center"/>
      <protection locked="0"/>
    </xf>
    <xf numFmtId="38" fontId="46" fillId="0" borderId="51" xfId="40" applyNumberFormat="1" applyFont="1" applyFill="1" applyBorder="1" applyAlignment="1" applyProtection="1">
      <alignment horizontal="center"/>
      <protection locked="0"/>
    </xf>
    <xf numFmtId="38" fontId="46" fillId="0" borderId="80" xfId="40" applyNumberFormat="1" applyFont="1" applyFill="1" applyBorder="1" applyAlignment="1">
      <alignment horizontal="center"/>
    </xf>
    <xf numFmtId="3" fontId="9" fillId="24" borderId="10" xfId="40" applyNumberFormat="1" applyFont="1" applyFill="1" applyBorder="1" applyAlignment="1">
      <alignment horizontal="right"/>
    </xf>
    <xf numFmtId="0" fontId="0" fillId="0" borderId="72" xfId="0" applyBorder="1"/>
    <xf numFmtId="0" fontId="7" fillId="24" borderId="116" xfId="0" applyFont="1" applyFill="1" applyBorder="1" applyAlignment="1">
      <alignment horizontal="center"/>
    </xf>
    <xf numFmtId="0" fontId="5" fillId="24" borderId="90" xfId="40" applyFont="1" applyFill="1" applyBorder="1"/>
    <xf numFmtId="0" fontId="10" fillId="24" borderId="74" xfId="40" applyFont="1" applyFill="1" applyBorder="1" applyAlignment="1">
      <alignment horizontal="center"/>
    </xf>
    <xf numFmtId="3" fontId="9" fillId="0" borderId="117" xfId="40" applyNumberFormat="1" applyFont="1" applyFill="1" applyBorder="1" applyAlignment="1">
      <alignment horizontal="right"/>
    </xf>
    <xf numFmtId="3" fontId="9" fillId="0" borderId="75" xfId="40" applyNumberFormat="1" applyFont="1" applyFill="1" applyBorder="1" applyAlignment="1">
      <alignment horizontal="right"/>
    </xf>
    <xf numFmtId="0" fontId="0" fillId="0" borderId="70" xfId="0" applyBorder="1"/>
    <xf numFmtId="0" fontId="56" fillId="24" borderId="15" xfId="40" applyFont="1" applyFill="1" applyBorder="1" applyAlignment="1">
      <alignment horizontal="center" vertical="center"/>
    </xf>
    <xf numFmtId="0" fontId="56" fillId="0" borderId="15" xfId="40" applyFont="1" applyBorder="1" applyAlignment="1">
      <alignment horizontal="center" vertical="center"/>
    </xf>
    <xf numFmtId="0" fontId="10" fillId="24" borderId="73" xfId="40" applyFont="1" applyFill="1" applyBorder="1" applyAlignment="1">
      <alignment horizontal="center"/>
    </xf>
    <xf numFmtId="3" fontId="9" fillId="0" borderId="117" xfId="40" applyNumberFormat="1" applyFont="1" applyFill="1" applyBorder="1" applyAlignment="1">
      <alignment horizontal="center"/>
    </xf>
    <xf numFmtId="3" fontId="9" fillId="0" borderId="75" xfId="40" applyNumberFormat="1" applyFont="1" applyFill="1" applyBorder="1" applyAlignment="1">
      <alignment horizontal="center"/>
    </xf>
    <xf numFmtId="0" fontId="0" fillId="0" borderId="63" xfId="0" applyBorder="1"/>
    <xf numFmtId="0" fontId="7" fillId="24" borderId="118" xfId="0" applyFont="1" applyFill="1" applyBorder="1" applyAlignment="1">
      <alignment horizontal="center"/>
    </xf>
    <xf numFmtId="4" fontId="9" fillId="0" borderId="117" xfId="40" applyNumberFormat="1" applyFont="1" applyFill="1" applyBorder="1" applyAlignment="1">
      <alignment horizontal="center"/>
    </xf>
    <xf numFmtId="4" fontId="9" fillId="0" borderId="75" xfId="40" applyNumberFormat="1" applyFont="1" applyFill="1" applyBorder="1" applyAlignment="1">
      <alignment horizontal="center"/>
    </xf>
    <xf numFmtId="0" fontId="12" fillId="0" borderId="11" xfId="0" applyFont="1" applyFill="1" applyBorder="1" applyAlignment="1">
      <alignment horizontal="center" wrapText="1"/>
    </xf>
    <xf numFmtId="0" fontId="12" fillId="0" borderId="15" xfId="0" applyFont="1" applyFill="1" applyBorder="1" applyAlignment="1">
      <alignment horizontal="center" wrapText="1"/>
    </xf>
    <xf numFmtId="0" fontId="55" fillId="0" borderId="17" xfId="0" applyFont="1" applyFill="1" applyBorder="1" applyAlignment="1">
      <alignment horizontal="center" wrapText="1"/>
    </xf>
    <xf numFmtId="3" fontId="9" fillId="25" borderId="21" xfId="40" applyNumberFormat="1" applyFont="1" applyFill="1" applyBorder="1" applyAlignment="1" applyProtection="1">
      <alignment horizontal="right"/>
      <protection locked="0"/>
    </xf>
    <xf numFmtId="0" fontId="12" fillId="0" borderId="17" xfId="0" applyFont="1" applyFill="1" applyBorder="1" applyAlignment="1">
      <alignment horizontal="center" wrapText="1"/>
    </xf>
    <xf numFmtId="4" fontId="14" fillId="25" borderId="21" xfId="0" applyNumberFormat="1" applyFont="1" applyFill="1" applyBorder="1" applyAlignment="1" applyProtection="1">
      <alignment horizontal="center"/>
      <protection locked="0"/>
    </xf>
    <xf numFmtId="0" fontId="13" fillId="0" borderId="52" xfId="0" applyFont="1" applyBorder="1"/>
    <xf numFmtId="0" fontId="7" fillId="24" borderId="119" xfId="0" applyFont="1" applyFill="1" applyBorder="1" applyAlignment="1">
      <alignment horizontal="center"/>
    </xf>
    <xf numFmtId="0" fontId="12" fillId="0" borderId="118" xfId="0" applyFont="1" applyFill="1" applyBorder="1" applyAlignment="1">
      <alignment horizontal="center" wrapText="1"/>
    </xf>
    <xf numFmtId="4" fontId="14" fillId="25" borderId="91" xfId="0" applyNumberFormat="1" applyFont="1" applyFill="1" applyBorder="1" applyAlignment="1" applyProtection="1">
      <alignment horizontal="center"/>
      <protection locked="0"/>
    </xf>
    <xf numFmtId="0" fontId="13" fillId="24" borderId="87" xfId="0" applyFont="1" applyFill="1" applyBorder="1"/>
    <xf numFmtId="4" fontId="14" fillId="25" borderId="89" xfId="0" applyNumberFormat="1" applyFont="1" applyFill="1" applyBorder="1" applyAlignment="1" applyProtection="1">
      <alignment horizontal="center"/>
      <protection locked="0"/>
    </xf>
    <xf numFmtId="0" fontId="13" fillId="24" borderId="119" xfId="0" applyFont="1" applyFill="1" applyBorder="1"/>
    <xf numFmtId="0" fontId="13" fillId="0" borderId="120" xfId="0" applyFont="1" applyBorder="1"/>
    <xf numFmtId="0" fontId="13" fillId="0" borderId="121" xfId="0" applyFont="1" applyBorder="1"/>
    <xf numFmtId="0" fontId="13" fillId="24" borderId="122" xfId="0" applyFont="1" applyFill="1" applyBorder="1"/>
    <xf numFmtId="0" fontId="13" fillId="0" borderId="70" xfId="0" applyFont="1" applyBorder="1"/>
    <xf numFmtId="0" fontId="11" fillId="0" borderId="72" xfId="0" applyFont="1" applyBorder="1"/>
    <xf numFmtId="0" fontId="23" fillId="24" borderId="11" xfId="40" applyFont="1" applyFill="1" applyBorder="1" applyAlignment="1">
      <alignment horizontal="center"/>
    </xf>
    <xf numFmtId="38" fontId="46" fillId="0" borderId="33" xfId="40" applyNumberFormat="1" applyFont="1" applyBorder="1" applyAlignment="1">
      <alignment horizontal="centerContinuous"/>
    </xf>
    <xf numFmtId="38" fontId="46" fillId="0" borderId="0" xfId="40" applyNumberFormat="1" applyFont="1" applyBorder="1" applyAlignment="1">
      <alignment horizontal="centerContinuous"/>
    </xf>
    <xf numFmtId="38" fontId="46" fillId="0" borderId="39" xfId="40" applyNumberFormat="1" applyFont="1" applyBorder="1" applyAlignment="1">
      <alignment horizontal="centerContinuous"/>
    </xf>
    <xf numFmtId="38" fontId="46" fillId="0" borderId="0" xfId="40" applyNumberFormat="1" applyFont="1" applyFill="1" applyBorder="1" applyAlignment="1" applyProtection="1">
      <alignment horizontal="centerContinuous"/>
      <protection locked="0"/>
    </xf>
    <xf numFmtId="38" fontId="46" fillId="0" borderId="63" xfId="40" applyNumberFormat="1" applyFont="1" applyFill="1" applyBorder="1" applyAlignment="1">
      <alignment horizontal="centerContinuous"/>
    </xf>
    <xf numFmtId="0" fontId="10" fillId="0" borderId="41" xfId="40" applyFont="1" applyFill="1" applyBorder="1" applyAlignment="1">
      <alignment horizontal="center"/>
    </xf>
    <xf numFmtId="0" fontId="10" fillId="0" borderId="40" xfId="40" applyFont="1" applyFill="1" applyBorder="1" applyAlignment="1">
      <alignment horizontal="center"/>
    </xf>
    <xf numFmtId="166" fontId="14" fillId="25" borderId="35" xfId="29" applyNumberFormat="1" applyFont="1" applyFill="1" applyBorder="1" applyProtection="1">
      <protection locked="0"/>
    </xf>
    <xf numFmtId="166" fontId="14" fillId="25" borderId="37" xfId="29" applyNumberFormat="1" applyFont="1" applyFill="1" applyBorder="1" applyProtection="1">
      <protection locked="0"/>
    </xf>
    <xf numFmtId="165" fontId="18" fillId="24" borderId="36" xfId="40" applyNumberFormat="1" applyFont="1" applyFill="1" applyBorder="1" applyAlignment="1">
      <alignment horizontal="center"/>
    </xf>
    <xf numFmtId="3" fontId="14" fillId="25" borderId="35" xfId="28" applyNumberFormat="1" applyFont="1" applyFill="1" applyBorder="1" applyAlignment="1" applyProtection="1">
      <alignment horizontal="center"/>
      <protection locked="0"/>
    </xf>
    <xf numFmtId="3" fontId="14" fillId="25" borderId="37" xfId="28" applyNumberFormat="1" applyFont="1" applyFill="1" applyBorder="1" applyAlignment="1" applyProtection="1">
      <alignment horizontal="center"/>
      <protection locked="0"/>
    </xf>
    <xf numFmtId="0" fontId="15" fillId="0" borderId="119" xfId="0" applyFont="1" applyBorder="1" applyAlignment="1">
      <alignment horizontal="center"/>
    </xf>
    <xf numFmtId="165" fontId="18" fillId="24" borderId="123" xfId="40" applyNumberFormat="1" applyFont="1" applyFill="1" applyBorder="1" applyAlignment="1">
      <alignment horizontal="center"/>
    </xf>
    <xf numFmtId="0" fontId="16" fillId="0" borderId="124" xfId="0" applyFont="1" applyBorder="1"/>
    <xf numFmtId="0" fontId="58" fillId="0" borderId="13" xfId="0" applyFont="1" applyBorder="1" applyAlignment="1">
      <alignment horizontal="center" wrapText="1"/>
    </xf>
    <xf numFmtId="9" fontId="6" fillId="0" borderId="0" xfId="40" applyNumberFormat="1" applyFont="1" applyBorder="1" applyAlignment="1">
      <alignment horizontal="center"/>
    </xf>
    <xf numFmtId="0" fontId="5" fillId="0" borderId="125" xfId="40" applyFont="1" applyBorder="1" applyAlignment="1"/>
    <xf numFmtId="9" fontId="6" fillId="0" borderId="63" xfId="40" applyNumberFormat="1" applyFont="1" applyBorder="1" applyAlignment="1">
      <alignment horizontal="center"/>
    </xf>
    <xf numFmtId="9" fontId="5" fillId="0" borderId="115" xfId="40" applyNumberFormat="1" applyFont="1" applyFill="1" applyBorder="1" applyAlignment="1">
      <alignment horizontal="center"/>
    </xf>
    <xf numFmtId="6" fontId="5" fillId="0" borderId="62" xfId="40" applyNumberFormat="1" applyFont="1" applyFill="1" applyBorder="1" applyAlignment="1">
      <alignment horizontal="center"/>
    </xf>
    <xf numFmtId="9" fontId="5" fillId="0" borderId="63" xfId="40" applyNumberFormat="1" applyFont="1" applyFill="1" applyBorder="1" applyAlignment="1">
      <alignment horizontal="center"/>
    </xf>
    <xf numFmtId="6" fontId="5" fillId="0" borderId="126" xfId="40" applyNumberFormat="1" applyFont="1" applyFill="1" applyBorder="1" applyAlignment="1">
      <alignment horizontal="center" vertical="center"/>
    </xf>
    <xf numFmtId="9" fontId="5" fillId="0" borderId="80" xfId="40" applyNumberFormat="1" applyFont="1" applyFill="1" applyBorder="1" applyAlignment="1">
      <alignment horizontal="center" vertical="center"/>
    </xf>
    <xf numFmtId="6" fontId="5" fillId="24" borderId="127" xfId="40" applyNumberFormat="1" applyFont="1" applyFill="1" applyBorder="1" applyAlignment="1">
      <alignment horizontal="center"/>
    </xf>
    <xf numFmtId="9" fontId="5" fillId="24" borderId="99" xfId="40" applyNumberFormat="1" applyFont="1" applyFill="1" applyBorder="1" applyAlignment="1">
      <alignment horizontal="center"/>
    </xf>
    <xf numFmtId="0" fontId="5" fillId="0" borderId="62" xfId="40" applyFont="1" applyFill="1" applyBorder="1" applyAlignment="1"/>
    <xf numFmtId="9" fontId="6" fillId="0" borderId="63" xfId="40" applyNumberFormat="1" applyFont="1" applyFill="1" applyBorder="1" applyAlignment="1">
      <alignment horizontal="center"/>
    </xf>
    <xf numFmtId="0" fontId="6" fillId="0" borderId="70" xfId="40" applyFont="1" applyFill="1" applyBorder="1"/>
    <xf numFmtId="9" fontId="6" fillId="0" borderId="124" xfId="40" applyNumberFormat="1" applyFont="1" applyBorder="1" applyAlignment="1">
      <alignment horizontal="center"/>
    </xf>
    <xf numFmtId="0" fontId="57" fillId="0" borderId="0" xfId="40" applyFont="1" applyBorder="1"/>
    <xf numFmtId="3" fontId="9" fillId="25" borderId="101" xfId="40" applyNumberFormat="1" applyFont="1" applyFill="1" applyBorder="1" applyAlignment="1" applyProtection="1">
      <alignment horizontal="right"/>
      <protection locked="0"/>
    </xf>
    <xf numFmtId="4" fontId="14" fillId="25" borderId="101" xfId="0" applyNumberFormat="1" applyFont="1" applyFill="1" applyBorder="1" applyAlignment="1" applyProtection="1">
      <alignment horizontal="center"/>
      <protection locked="0"/>
    </xf>
    <xf numFmtId="4" fontId="14" fillId="25" borderId="102" xfId="0" applyNumberFormat="1" applyFont="1" applyFill="1" applyBorder="1" applyAlignment="1" applyProtection="1">
      <alignment horizontal="center"/>
      <protection locked="0"/>
    </xf>
    <xf numFmtId="3" fontId="9" fillId="25" borderId="128" xfId="40" applyNumberFormat="1" applyFont="1" applyFill="1" applyBorder="1" applyAlignment="1" applyProtection="1">
      <alignment horizontal="right"/>
      <protection locked="0"/>
    </xf>
    <xf numFmtId="4" fontId="14" fillId="25" borderId="128" xfId="0" applyNumberFormat="1" applyFont="1" applyFill="1" applyBorder="1" applyAlignment="1" applyProtection="1">
      <alignment horizontal="center"/>
      <protection locked="0"/>
    </xf>
    <xf numFmtId="0" fontId="7" fillId="24" borderId="95" xfId="0" applyFont="1" applyFill="1" applyBorder="1"/>
    <xf numFmtId="4" fontId="14" fillId="25" borderId="129" xfId="0" applyNumberFormat="1" applyFont="1" applyFill="1" applyBorder="1" applyAlignment="1" applyProtection="1">
      <alignment horizontal="center"/>
      <protection locked="0"/>
    </xf>
    <xf numFmtId="0" fontId="7" fillId="24" borderId="96" xfId="0" applyFont="1" applyFill="1" applyBorder="1"/>
    <xf numFmtId="3" fontId="9" fillId="25" borderId="130" xfId="40" applyNumberFormat="1" applyFont="1" applyFill="1" applyBorder="1" applyAlignment="1" applyProtection="1">
      <alignment horizontal="right"/>
      <protection locked="0"/>
    </xf>
    <xf numFmtId="4" fontId="14" fillId="25" borderId="130" xfId="0" applyNumberFormat="1" applyFont="1" applyFill="1" applyBorder="1" applyAlignment="1" applyProtection="1">
      <alignment horizontal="center"/>
      <protection locked="0"/>
    </xf>
    <xf numFmtId="4" fontId="14" fillId="25" borderId="131" xfId="0" applyNumberFormat="1" applyFont="1" applyFill="1" applyBorder="1" applyAlignment="1" applyProtection="1">
      <alignment horizontal="center"/>
      <protection locked="0"/>
    </xf>
    <xf numFmtId="3" fontId="10" fillId="0" borderId="26" xfId="40" applyNumberFormat="1" applyFont="1" applyBorder="1" applyAlignment="1">
      <alignment horizontal="center"/>
    </xf>
    <xf numFmtId="3" fontId="10" fillId="0" borderId="27" xfId="40" applyNumberFormat="1" applyFont="1" applyBorder="1" applyAlignment="1">
      <alignment horizontal="center"/>
    </xf>
    <xf numFmtId="3" fontId="9" fillId="25" borderId="113" xfId="40" applyNumberFormat="1" applyFont="1" applyFill="1" applyBorder="1" applyAlignment="1" applyProtection="1">
      <alignment horizontal="center"/>
      <protection locked="0"/>
    </xf>
    <xf numFmtId="3" fontId="10" fillId="24" borderId="17" xfId="40" applyNumberFormat="1" applyFont="1" applyFill="1" applyBorder="1" applyAlignment="1">
      <alignment horizontal="center"/>
    </xf>
    <xf numFmtId="3" fontId="10" fillId="24" borderId="26" xfId="40" applyNumberFormat="1" applyFont="1" applyFill="1" applyBorder="1" applyAlignment="1">
      <alignment horizontal="center"/>
    </xf>
    <xf numFmtId="3" fontId="9" fillId="25" borderId="114" xfId="40" applyNumberFormat="1" applyFont="1" applyFill="1" applyBorder="1" applyAlignment="1" applyProtection="1">
      <alignment horizontal="center"/>
      <protection locked="0"/>
    </xf>
    <xf numFmtId="3" fontId="9" fillId="24" borderId="113" xfId="40" applyNumberFormat="1" applyFont="1" applyFill="1" applyBorder="1" applyAlignment="1">
      <alignment horizontal="center"/>
    </xf>
    <xf numFmtId="3" fontId="9" fillId="24" borderId="114" xfId="40" applyNumberFormat="1" applyFont="1" applyFill="1" applyBorder="1" applyAlignment="1">
      <alignment horizontal="center"/>
    </xf>
    <xf numFmtId="3" fontId="10" fillId="24" borderId="27" xfId="40" applyNumberFormat="1" applyFont="1" applyFill="1" applyBorder="1" applyAlignment="1">
      <alignment horizontal="center"/>
    </xf>
    <xf numFmtId="4" fontId="9" fillId="25" borderId="24" xfId="40" applyNumberFormat="1" applyFont="1" applyFill="1" applyBorder="1" applyAlignment="1" applyProtection="1">
      <alignment horizontal="center"/>
      <protection locked="0"/>
    </xf>
    <xf numFmtId="4" fontId="9" fillId="25" borderId="113" xfId="40" applyNumberFormat="1" applyFont="1" applyFill="1" applyBorder="1" applyAlignment="1" applyProtection="1">
      <alignment horizontal="center"/>
      <protection locked="0"/>
    </xf>
    <xf numFmtId="4" fontId="9" fillId="25" borderId="114" xfId="40" applyNumberFormat="1" applyFont="1" applyFill="1" applyBorder="1" applyAlignment="1" applyProtection="1">
      <alignment horizontal="center"/>
      <protection locked="0"/>
    </xf>
    <xf numFmtId="4" fontId="9" fillId="24" borderId="113" xfId="40" applyNumberFormat="1" applyFont="1" applyFill="1" applyBorder="1" applyAlignment="1">
      <alignment horizontal="center"/>
    </xf>
    <xf numFmtId="4" fontId="9" fillId="24" borderId="114" xfId="40" applyNumberFormat="1" applyFont="1" applyFill="1" applyBorder="1" applyAlignment="1">
      <alignment horizontal="center"/>
    </xf>
    <xf numFmtId="4" fontId="10" fillId="24" borderId="17" xfId="40" applyNumberFormat="1" applyFont="1" applyFill="1" applyBorder="1" applyAlignment="1">
      <alignment horizontal="center"/>
    </xf>
    <xf numFmtId="4" fontId="10" fillId="24" borderId="26" xfId="40" applyNumberFormat="1" applyFont="1" applyFill="1" applyBorder="1" applyAlignment="1">
      <alignment horizontal="center"/>
    </xf>
    <xf numFmtId="4" fontId="10" fillId="24" borderId="27" xfId="40" applyNumberFormat="1" applyFont="1" applyFill="1" applyBorder="1" applyAlignment="1">
      <alignment horizontal="center"/>
    </xf>
    <xf numFmtId="3" fontId="18" fillId="25" borderId="113" xfId="40" applyNumberFormat="1" applyFont="1" applyFill="1" applyBorder="1" applyAlignment="1" applyProtection="1">
      <alignment horizontal="center"/>
      <protection locked="0"/>
    </xf>
    <xf numFmtId="3" fontId="18" fillId="25" borderId="101" xfId="40" applyNumberFormat="1" applyFont="1" applyFill="1" applyBorder="1" applyAlignment="1" applyProtection="1">
      <alignment horizontal="center"/>
      <protection locked="0"/>
    </xf>
    <xf numFmtId="0" fontId="18" fillId="25" borderId="114" xfId="40" applyFont="1" applyFill="1" applyBorder="1" applyAlignment="1" applyProtection="1">
      <alignment horizontal="center"/>
      <protection locked="0"/>
    </xf>
    <xf numFmtId="3" fontId="18" fillId="24" borderId="113" xfId="40" applyNumberFormat="1" applyFont="1" applyFill="1" applyBorder="1" applyAlignment="1">
      <alignment horizontal="center"/>
    </xf>
    <xf numFmtId="3" fontId="18" fillId="24" borderId="101" xfId="40" applyNumberFormat="1" applyFont="1" applyFill="1" applyBorder="1" applyAlignment="1">
      <alignment horizontal="center"/>
    </xf>
    <xf numFmtId="3" fontId="18" fillId="24" borderId="114" xfId="40" applyNumberFormat="1" applyFont="1" applyFill="1" applyBorder="1" applyAlignment="1">
      <alignment horizontal="center"/>
    </xf>
    <xf numFmtId="3" fontId="10" fillId="24" borderId="128" xfId="40" applyNumberFormat="1" applyFont="1" applyFill="1" applyBorder="1" applyAlignment="1">
      <alignment horizontal="center"/>
    </xf>
    <xf numFmtId="3" fontId="9" fillId="24" borderId="24" xfId="40" applyNumberFormat="1" applyFont="1" applyFill="1" applyBorder="1" applyAlignment="1">
      <alignment horizontal="right"/>
    </xf>
    <xf numFmtId="10" fontId="9" fillId="0" borderId="132" xfId="40" applyNumberFormat="1" applyFont="1" applyBorder="1" applyAlignment="1">
      <alignment horizontal="center"/>
    </xf>
    <xf numFmtId="3" fontId="10" fillId="0" borderId="133" xfId="40" applyNumberFormat="1" applyFont="1" applyBorder="1" applyAlignment="1">
      <alignment horizontal="center"/>
    </xf>
    <xf numFmtId="3" fontId="10" fillId="0" borderId="134" xfId="40" applyNumberFormat="1" applyFont="1" applyBorder="1" applyAlignment="1">
      <alignment horizontal="center"/>
    </xf>
    <xf numFmtId="10" fontId="10" fillId="0" borderId="135" xfId="40" applyNumberFormat="1" applyFont="1" applyBorder="1" applyAlignment="1">
      <alignment horizontal="center"/>
    </xf>
    <xf numFmtId="9" fontId="9" fillId="0" borderId="113" xfId="40" applyNumberFormat="1" applyFont="1" applyFill="1" applyBorder="1" applyAlignment="1">
      <alignment horizontal="center"/>
    </xf>
    <xf numFmtId="3" fontId="9" fillId="0" borderId="101" xfId="40" applyNumberFormat="1" applyFont="1" applyBorder="1" applyAlignment="1">
      <alignment horizontal="center"/>
    </xf>
    <xf numFmtId="9" fontId="9" fillId="0" borderId="102" xfId="40" applyNumberFormat="1" applyFont="1" applyFill="1" applyBorder="1" applyAlignment="1">
      <alignment horizontal="center"/>
    </xf>
    <xf numFmtId="9" fontId="9" fillId="0" borderId="133" xfId="40" applyNumberFormat="1" applyFont="1" applyFill="1" applyBorder="1" applyAlignment="1">
      <alignment horizontal="center"/>
    </xf>
    <xf numFmtId="3" fontId="10" fillId="0" borderId="130" xfId="40" applyNumberFormat="1" applyFont="1" applyBorder="1" applyAlignment="1">
      <alignment horizontal="center"/>
    </xf>
    <xf numFmtId="9" fontId="9" fillId="0" borderId="131" xfId="40" applyNumberFormat="1" applyFont="1" applyFill="1" applyBorder="1" applyAlignment="1">
      <alignment horizontal="center"/>
    </xf>
    <xf numFmtId="3" fontId="9" fillId="0" borderId="103" xfId="40" applyNumberFormat="1" applyFont="1" applyFill="1" applyBorder="1" applyAlignment="1">
      <alignment horizontal="right"/>
    </xf>
    <xf numFmtId="9" fontId="9" fillId="0" borderId="111" xfId="40" applyNumberFormat="1" applyFont="1" applyBorder="1" applyAlignment="1">
      <alignment horizontal="center"/>
    </xf>
    <xf numFmtId="9" fontId="10" fillId="0" borderId="27" xfId="40" applyNumberFormat="1" applyFont="1" applyBorder="1" applyAlignment="1">
      <alignment horizontal="center"/>
    </xf>
    <xf numFmtId="3" fontId="9" fillId="0" borderId="73" xfId="40" applyNumberFormat="1" applyFont="1" applyFill="1" applyBorder="1" applyAlignment="1">
      <alignment horizontal="right"/>
    </xf>
    <xf numFmtId="9" fontId="10" fillId="0" borderId="133" xfId="40" applyNumberFormat="1" applyFont="1" applyFill="1" applyBorder="1" applyAlignment="1">
      <alignment horizontal="center"/>
    </xf>
    <xf numFmtId="3" fontId="10" fillId="0" borderId="130" xfId="40" applyNumberFormat="1" applyFont="1" applyBorder="1" applyAlignment="1">
      <alignment horizontal="right"/>
    </xf>
    <xf numFmtId="9" fontId="10" fillId="0" borderId="134" xfId="40" applyNumberFormat="1" applyFont="1" applyBorder="1" applyAlignment="1">
      <alignment horizontal="center"/>
    </xf>
    <xf numFmtId="3" fontId="10" fillId="0" borderId="135" xfId="40" applyNumberFormat="1" applyFont="1" applyBorder="1" applyAlignment="1">
      <alignment horizontal="right"/>
    </xf>
    <xf numFmtId="9" fontId="9" fillId="0" borderId="113" xfId="40" applyNumberFormat="1" applyFont="1" applyBorder="1" applyAlignment="1">
      <alignment horizontal="center"/>
    </xf>
    <xf numFmtId="3" fontId="9" fillId="0" borderId="103" xfId="40" applyNumberFormat="1" applyFont="1" applyFill="1" applyBorder="1" applyAlignment="1">
      <alignment horizontal="center"/>
    </xf>
    <xf numFmtId="9" fontId="9" fillId="0" borderId="114" xfId="40" applyNumberFormat="1" applyFont="1" applyBorder="1" applyAlignment="1">
      <alignment horizontal="center"/>
    </xf>
    <xf numFmtId="9" fontId="10" fillId="0" borderId="26" xfId="40" applyNumberFormat="1" applyFont="1" applyBorder="1" applyAlignment="1">
      <alignment horizontal="center"/>
    </xf>
    <xf numFmtId="3" fontId="10" fillId="0" borderId="128" xfId="40" applyNumberFormat="1" applyFont="1" applyFill="1" applyBorder="1" applyAlignment="1">
      <alignment horizontal="center"/>
    </xf>
    <xf numFmtId="3" fontId="9" fillId="0" borderId="73" xfId="40" applyNumberFormat="1" applyFont="1" applyFill="1" applyBorder="1" applyAlignment="1">
      <alignment horizontal="center"/>
    </xf>
    <xf numFmtId="9" fontId="10" fillId="0" borderId="133" xfId="40" applyNumberFormat="1" applyFont="1" applyBorder="1" applyAlignment="1">
      <alignment horizontal="center"/>
    </xf>
    <xf numFmtId="0" fontId="9" fillId="0" borderId="19" xfId="40" applyFont="1" applyBorder="1"/>
    <xf numFmtId="0" fontId="0" fillId="0" borderId="19" xfId="0" applyBorder="1"/>
    <xf numFmtId="4" fontId="9" fillId="0" borderId="103" xfId="40" applyNumberFormat="1" applyFont="1" applyFill="1" applyBorder="1" applyAlignment="1">
      <alignment horizontal="center"/>
    </xf>
    <xf numFmtId="4" fontId="9" fillId="0" borderId="73" xfId="40" applyNumberFormat="1" applyFont="1" applyFill="1" applyBorder="1" applyAlignment="1">
      <alignment horizontal="center"/>
    </xf>
    <xf numFmtId="3" fontId="10" fillId="0" borderId="118" xfId="40" applyNumberFormat="1" applyFont="1" applyFill="1" applyBorder="1" applyAlignment="1">
      <alignment horizontal="center"/>
    </xf>
    <xf numFmtId="4" fontId="10" fillId="0" borderId="130" xfId="40" applyNumberFormat="1" applyFont="1" applyFill="1" applyBorder="1" applyAlignment="1">
      <alignment horizontal="center"/>
    </xf>
    <xf numFmtId="4" fontId="10" fillId="0" borderId="135" xfId="40" applyNumberFormat="1" applyFont="1" applyFill="1" applyBorder="1" applyAlignment="1">
      <alignment horizontal="center"/>
    </xf>
    <xf numFmtId="0" fontId="0" fillId="0" borderId="0" xfId="0" applyFill="1" applyBorder="1"/>
    <xf numFmtId="2" fontId="14" fillId="25" borderId="136" xfId="0" applyNumberFormat="1" applyFont="1" applyFill="1" applyBorder="1" applyAlignment="1">
      <alignment horizontal="center"/>
    </xf>
    <xf numFmtId="2" fontId="14" fillId="25" borderId="137" xfId="0" applyNumberFormat="1" applyFont="1" applyFill="1" applyBorder="1" applyAlignment="1">
      <alignment horizontal="center"/>
    </xf>
    <xf numFmtId="0" fontId="23" fillId="24" borderId="73" xfId="40" applyFont="1" applyFill="1" applyBorder="1" applyAlignment="1">
      <alignment horizontal="center"/>
    </xf>
    <xf numFmtId="0" fontId="6" fillId="0" borderId="138" xfId="40" applyFont="1" applyBorder="1"/>
    <xf numFmtId="40" fontId="10" fillId="0" borderId="41" xfId="40" applyNumberFormat="1" applyFont="1" applyFill="1" applyBorder="1" applyAlignment="1">
      <alignment horizontal="center"/>
    </xf>
    <xf numFmtId="38" fontId="10" fillId="0" borderId="42" xfId="40" applyNumberFormat="1" applyFont="1" applyFill="1" applyBorder="1" applyAlignment="1">
      <alignment horizontal="center"/>
    </xf>
    <xf numFmtId="0" fontId="51" fillId="0" borderId="0" xfId="0" applyFont="1" applyFill="1" applyBorder="1" applyAlignment="1">
      <alignment horizontal="center"/>
    </xf>
    <xf numFmtId="0" fontId="16" fillId="0" borderId="0" xfId="0" applyFont="1" applyFill="1" applyBorder="1"/>
    <xf numFmtId="0" fontId="6" fillId="0" borderId="0" xfId="40" applyFont="1" applyFill="1" applyBorder="1" applyProtection="1">
      <protection locked="0"/>
    </xf>
    <xf numFmtId="0" fontId="16" fillId="0" borderId="13" xfId="0" applyFont="1" applyBorder="1"/>
    <xf numFmtId="0" fontId="16" fillId="0" borderId="139" xfId="0" applyFont="1" applyBorder="1"/>
    <xf numFmtId="0" fontId="15" fillId="0" borderId="10" xfId="0" applyFont="1" applyBorder="1" applyAlignment="1">
      <alignment horizontal="center"/>
    </xf>
    <xf numFmtId="0" fontId="15" fillId="0" borderId="25" xfId="0" applyFont="1" applyBorder="1" applyAlignment="1">
      <alignment horizontal="center"/>
    </xf>
    <xf numFmtId="0" fontId="16" fillId="0" borderId="19" xfId="0" applyFont="1" applyBorder="1"/>
    <xf numFmtId="0" fontId="16" fillId="0" borderId="18" xfId="0" applyFont="1" applyBorder="1"/>
    <xf numFmtId="0" fontId="58" fillId="0" borderId="29" xfId="0" applyFont="1" applyBorder="1" applyAlignment="1">
      <alignment horizontal="center" wrapText="1"/>
    </xf>
    <xf numFmtId="0" fontId="7" fillId="0" borderId="0" xfId="0" applyFont="1" applyBorder="1" applyAlignment="1">
      <alignment horizontal="center"/>
    </xf>
    <xf numFmtId="0" fontId="51" fillId="24" borderId="140" xfId="0" applyFont="1" applyFill="1" applyBorder="1" applyAlignment="1">
      <alignment horizontal="centerContinuous"/>
    </xf>
    <xf numFmtId="0" fontId="51" fillId="24" borderId="52" xfId="0" applyFont="1" applyFill="1" applyBorder="1" applyAlignment="1">
      <alignment horizontal="centerContinuous"/>
    </xf>
    <xf numFmtId="0" fontId="51" fillId="24" borderId="53" xfId="0" applyFont="1" applyFill="1" applyBorder="1" applyAlignment="1">
      <alignment horizontal="centerContinuous"/>
    </xf>
    <xf numFmtId="0" fontId="58" fillId="0" borderId="12" xfId="0" applyFont="1" applyBorder="1" applyAlignment="1">
      <alignment horizontal="center" wrapText="1"/>
    </xf>
    <xf numFmtId="0" fontId="7" fillId="0" borderId="11" xfId="0" applyFont="1" applyFill="1" applyBorder="1" applyAlignment="1">
      <alignment horizontal="center"/>
    </xf>
    <xf numFmtId="0" fontId="15" fillId="0" borderId="15" xfId="0" applyFont="1" applyFill="1" applyBorder="1" applyAlignment="1">
      <alignment horizontal="center"/>
    </xf>
    <xf numFmtId="0" fontId="15" fillId="0" borderId="12" xfId="0" applyFont="1" applyFill="1" applyBorder="1" applyAlignment="1">
      <alignment horizontal="center" vertical="center" wrapText="1"/>
    </xf>
    <xf numFmtId="0" fontId="7" fillId="0" borderId="141" xfId="0" applyFont="1" applyBorder="1" applyAlignment="1">
      <alignment horizontal="centerContinuous"/>
    </xf>
    <xf numFmtId="0" fontId="6" fillId="0" borderId="46" xfId="40" applyFont="1" applyBorder="1" applyAlignment="1" applyProtection="1">
      <alignment horizontal="centerContinuous"/>
      <protection locked="0"/>
    </xf>
    <xf numFmtId="0" fontId="7" fillId="0" borderId="47" xfId="0" applyFont="1" applyBorder="1" applyAlignment="1">
      <alignment horizontal="center"/>
    </xf>
    <xf numFmtId="0" fontId="7" fillId="0" borderId="141" xfId="0" applyFont="1" applyFill="1" applyBorder="1" applyAlignment="1">
      <alignment horizontal="centerContinuous"/>
    </xf>
    <xf numFmtId="0" fontId="7" fillId="0" borderId="46" xfId="0" applyFont="1" applyFill="1" applyBorder="1" applyAlignment="1">
      <alignment horizontal="centerContinuous"/>
    </xf>
    <xf numFmtId="166" fontId="14" fillId="25" borderId="141" xfId="29" applyNumberFormat="1" applyFont="1" applyFill="1" applyBorder="1" applyProtection="1">
      <protection locked="0"/>
    </xf>
    <xf numFmtId="166" fontId="14" fillId="25" borderId="142" xfId="29" applyNumberFormat="1" applyFont="1" applyFill="1" applyBorder="1" applyProtection="1">
      <protection locked="0"/>
    </xf>
    <xf numFmtId="166" fontId="14" fillId="25" borderId="143" xfId="29" applyNumberFormat="1" applyFont="1" applyFill="1" applyBorder="1" applyProtection="1">
      <protection locked="0"/>
    </xf>
    <xf numFmtId="0" fontId="48" fillId="0" borderId="114" xfId="0" applyFont="1" applyBorder="1" applyAlignment="1">
      <alignment horizontal="center" wrapText="1"/>
    </xf>
    <xf numFmtId="0" fontId="15" fillId="0" borderId="92" xfId="0" applyFont="1" applyFill="1" applyBorder="1" applyAlignment="1">
      <alignment horizontal="center"/>
    </xf>
    <xf numFmtId="0" fontId="58" fillId="0" borderId="15" xfId="0" applyFont="1" applyBorder="1" applyAlignment="1">
      <alignment horizontal="center" wrapText="1"/>
    </xf>
    <xf numFmtId="169" fontId="14" fillId="25" borderId="141" xfId="28" applyNumberFormat="1" applyFont="1" applyFill="1" applyBorder="1" applyProtection="1">
      <protection locked="0"/>
    </xf>
    <xf numFmtId="169" fontId="9" fillId="24" borderId="20" xfId="28" applyNumberFormat="1" applyFont="1" applyFill="1" applyBorder="1" applyAlignment="1">
      <alignment horizontal="center"/>
    </xf>
    <xf numFmtId="0" fontId="15" fillId="0" borderId="15" xfId="0" applyFont="1" applyFill="1" applyBorder="1" applyAlignment="1">
      <alignment horizontal="center" vertical="center" wrapText="1"/>
    </xf>
    <xf numFmtId="0" fontId="58" fillId="0" borderId="92" xfId="0" applyFont="1" applyBorder="1" applyAlignment="1">
      <alignment horizontal="center" wrapText="1"/>
    </xf>
    <xf numFmtId="0" fontId="58" fillId="0" borderId="144" xfId="0" applyFont="1" applyBorder="1" applyAlignment="1">
      <alignment horizontal="center" wrapText="1"/>
    </xf>
    <xf numFmtId="0" fontId="48" fillId="0" borderId="144" xfId="0" applyFont="1" applyBorder="1" applyAlignment="1">
      <alignment horizontal="center" wrapText="1"/>
    </xf>
    <xf numFmtId="0" fontId="15" fillId="0" borderId="47" xfId="0" applyFont="1" applyBorder="1" applyAlignment="1">
      <alignment horizontal="center"/>
    </xf>
    <xf numFmtId="169" fontId="9" fillId="24" borderId="50" xfId="28" applyNumberFormat="1" applyFont="1" applyFill="1" applyBorder="1" applyAlignment="1">
      <alignment horizontal="center"/>
    </xf>
    <xf numFmtId="169" fontId="9" fillId="24" borderId="144" xfId="28" applyNumberFormat="1" applyFont="1" applyFill="1" applyBorder="1" applyAlignment="1">
      <alignment horizontal="center"/>
    </xf>
    <xf numFmtId="169" fontId="14" fillId="25" borderId="142" xfId="28" applyNumberFormat="1" applyFont="1" applyFill="1" applyBorder="1" applyProtection="1">
      <protection locked="0"/>
    </xf>
    <xf numFmtId="169" fontId="14" fillId="25" borderId="143" xfId="28" applyNumberFormat="1" applyFont="1" applyFill="1" applyBorder="1" applyProtection="1">
      <protection locked="0"/>
    </xf>
    <xf numFmtId="169" fontId="14" fillId="25" borderId="47" xfId="28" applyNumberFormat="1" applyFont="1" applyFill="1" applyBorder="1" applyProtection="1">
      <protection locked="0"/>
    </xf>
    <xf numFmtId="169" fontId="14" fillId="25" borderId="10" xfId="28" applyNumberFormat="1" applyFont="1" applyFill="1" applyBorder="1" applyProtection="1">
      <protection locked="0"/>
    </xf>
    <xf numFmtId="169" fontId="14" fillId="25" borderId="25" xfId="28" applyNumberFormat="1" applyFont="1" applyFill="1" applyBorder="1" applyProtection="1">
      <protection locked="0"/>
    </xf>
    <xf numFmtId="165" fontId="9" fillId="24" borderId="50" xfId="40" applyNumberFormat="1" applyFont="1" applyFill="1" applyBorder="1" applyAlignment="1">
      <alignment horizontal="center"/>
    </xf>
    <xf numFmtId="165" fontId="9" fillId="24" borderId="20" xfId="40" applyNumberFormat="1" applyFont="1" applyFill="1" applyBorder="1" applyAlignment="1">
      <alignment horizontal="center"/>
    </xf>
    <xf numFmtId="165" fontId="9" fillId="24" borderId="144" xfId="40" applyNumberFormat="1" applyFont="1" applyFill="1" applyBorder="1" applyAlignment="1">
      <alignment horizontal="center"/>
    </xf>
    <xf numFmtId="166" fontId="9" fillId="25" borderId="145" xfId="29" applyNumberFormat="1" applyFont="1" applyFill="1" applyBorder="1" applyAlignment="1">
      <alignment horizontal="center"/>
    </xf>
    <xf numFmtId="166" fontId="9" fillId="25" borderId="51" xfId="29" applyNumberFormat="1" applyFont="1" applyFill="1" applyBorder="1" applyAlignment="1">
      <alignment horizontal="center"/>
    </xf>
    <xf numFmtId="166" fontId="9" fillId="25" borderId="19" xfId="29" applyNumberFormat="1" applyFont="1" applyFill="1" applyBorder="1" applyAlignment="1">
      <alignment horizontal="center"/>
    </xf>
    <xf numFmtId="0" fontId="5" fillId="0" borderId="17" xfId="40" applyFont="1" applyBorder="1" applyAlignment="1" applyProtection="1">
      <alignment horizontal="center"/>
      <protection locked="0"/>
    </xf>
    <xf numFmtId="0" fontId="5" fillId="0" borderId="140" xfId="40" applyFont="1" applyBorder="1" applyAlignment="1" applyProtection="1">
      <alignment horizontal="centerContinuous" vertical="center"/>
      <protection locked="0"/>
    </xf>
    <xf numFmtId="0" fontId="22" fillId="0" borderId="52" xfId="0" applyFont="1" applyFill="1" applyBorder="1" applyAlignment="1">
      <alignment horizontal="centerContinuous" vertical="center" wrapText="1"/>
    </xf>
    <xf numFmtId="0" fontId="6" fillId="0" borderId="52" xfId="40" applyFont="1" applyBorder="1" applyAlignment="1" applyProtection="1">
      <alignment horizontal="centerContinuous" vertical="center"/>
      <protection locked="0"/>
    </xf>
    <xf numFmtId="0" fontId="6" fillId="0" borderId="53" xfId="40" applyFont="1" applyBorder="1" applyAlignment="1" applyProtection="1">
      <alignment horizontal="centerContinuous" vertical="center"/>
      <protection locked="0"/>
    </xf>
    <xf numFmtId="0" fontId="44" fillId="24" borderId="147" xfId="40" applyFont="1" applyFill="1" applyBorder="1" applyAlignment="1" applyProtection="1">
      <alignment horizontal="center"/>
      <protection locked="0"/>
    </xf>
    <xf numFmtId="0" fontId="44" fillId="24" borderId="148" xfId="40" applyFont="1" applyFill="1" applyBorder="1" applyAlignment="1" applyProtection="1">
      <alignment horizontal="center"/>
      <protection locked="0"/>
    </xf>
    <xf numFmtId="0" fontId="6" fillId="0" borderId="63" xfId="40" applyFont="1" applyBorder="1" applyAlignment="1" applyProtection="1">
      <alignment horizontal="center"/>
      <protection locked="0"/>
    </xf>
    <xf numFmtId="0" fontId="6" fillId="25" borderId="89" xfId="40" applyFont="1" applyFill="1" applyBorder="1" applyAlignment="1" applyProtection="1">
      <alignment horizontal="center"/>
      <protection locked="0"/>
    </xf>
    <xf numFmtId="167" fontId="43" fillId="24" borderId="98" xfId="40" applyNumberFormat="1" applyFont="1" applyFill="1" applyBorder="1" applyAlignment="1" applyProtection="1">
      <alignment horizontal="centerContinuous"/>
      <protection locked="0"/>
    </xf>
    <xf numFmtId="167" fontId="43" fillId="24" borderId="43" xfId="40" applyNumberFormat="1" applyFont="1" applyFill="1" applyBorder="1" applyAlignment="1" applyProtection="1">
      <alignment horizontal="centerContinuous"/>
      <protection locked="0"/>
    </xf>
    <xf numFmtId="0" fontId="5" fillId="24" borderId="42" xfId="40" applyFont="1" applyFill="1" applyBorder="1" applyAlignment="1" applyProtection="1">
      <alignment horizontal="center" wrapText="1"/>
      <protection locked="0"/>
    </xf>
    <xf numFmtId="0" fontId="6" fillId="0" borderId="33" xfId="40" applyFont="1" applyBorder="1" applyAlignment="1" applyProtection="1">
      <alignment horizontal="center"/>
      <protection locked="0"/>
    </xf>
    <xf numFmtId="0" fontId="6" fillId="24" borderId="33" xfId="40" applyFont="1" applyFill="1" applyBorder="1" applyAlignment="1" applyProtection="1">
      <alignment horizontal="center"/>
      <protection locked="0"/>
    </xf>
    <xf numFmtId="0" fontId="6" fillId="25" borderId="42" xfId="40" applyFont="1" applyFill="1" applyBorder="1" applyAlignment="1" applyProtection="1">
      <alignment horizontal="center"/>
      <protection locked="0"/>
    </xf>
    <xf numFmtId="0" fontId="6" fillId="0" borderId="149" xfId="40" applyFont="1" applyBorder="1" applyAlignment="1" applyProtection="1">
      <alignment horizontal="center"/>
      <protection locked="0"/>
    </xf>
    <xf numFmtId="0" fontId="6" fillId="0" borderId="33" xfId="40" applyFont="1" applyFill="1" applyBorder="1" applyAlignment="1" applyProtection="1">
      <alignment horizontal="center"/>
      <protection locked="0"/>
    </xf>
    <xf numFmtId="0" fontId="59" fillId="24" borderId="33" xfId="40" applyFont="1" applyFill="1" applyBorder="1" applyAlignment="1" applyProtection="1">
      <alignment horizontal="right"/>
      <protection locked="0"/>
    </xf>
    <xf numFmtId="0" fontId="5" fillId="24" borderId="89" xfId="40" applyFont="1" applyFill="1" applyBorder="1" applyAlignment="1" applyProtection="1">
      <alignment horizontal="center" wrapText="1"/>
      <protection locked="0"/>
    </xf>
    <xf numFmtId="0" fontId="6" fillId="0" borderId="104" xfId="40" applyFont="1" applyBorder="1" applyAlignment="1" applyProtection="1">
      <alignment horizontal="center"/>
      <protection locked="0"/>
    </xf>
    <xf numFmtId="0" fontId="6" fillId="24" borderId="104" xfId="40" applyFont="1" applyFill="1" applyBorder="1" applyAlignment="1" applyProtection="1">
      <alignment horizontal="center"/>
      <protection locked="0"/>
    </xf>
    <xf numFmtId="0" fontId="6" fillId="0" borderId="106" xfId="40" applyFont="1" applyBorder="1" applyAlignment="1" applyProtection="1">
      <alignment horizontal="center"/>
      <protection locked="0"/>
    </xf>
    <xf numFmtId="166" fontId="14" fillId="24" borderId="141" xfId="29" applyNumberFormat="1" applyFont="1" applyFill="1" applyBorder="1" applyProtection="1">
      <protection locked="0"/>
    </xf>
    <xf numFmtId="166" fontId="14" fillId="24" borderId="142" xfId="29" applyNumberFormat="1" applyFont="1" applyFill="1" applyBorder="1" applyProtection="1">
      <protection locked="0"/>
    </xf>
    <xf numFmtId="166" fontId="14" fillId="24" borderId="143" xfId="29" applyNumberFormat="1" applyFont="1" applyFill="1" applyBorder="1" applyProtection="1">
      <protection locked="0"/>
    </xf>
    <xf numFmtId="0" fontId="58" fillId="0" borderId="0" xfId="0" applyFont="1" applyBorder="1" applyAlignment="1">
      <alignment horizontal="center" wrapText="1"/>
    </xf>
    <xf numFmtId="167" fontId="5" fillId="0" borderId="0" xfId="40" applyNumberFormat="1" applyFont="1" applyFill="1" applyBorder="1" applyAlignment="1" applyProtection="1">
      <alignment horizontal="centerContinuous"/>
      <protection locked="0"/>
    </xf>
    <xf numFmtId="0" fontId="6" fillId="0" borderId="0" xfId="40" applyFont="1" applyFill="1" applyBorder="1" applyAlignment="1" applyProtection="1">
      <alignment horizontal="centerContinuous"/>
      <protection locked="0"/>
    </xf>
    <xf numFmtId="0" fontId="15" fillId="0" borderId="0" xfId="0" applyFont="1" applyFill="1" applyBorder="1" applyAlignment="1">
      <alignment horizontal="center" vertical="center" wrapText="1"/>
    </xf>
    <xf numFmtId="0" fontId="58" fillId="0" borderId="0" xfId="0" applyFont="1" applyFill="1" applyBorder="1" applyAlignment="1">
      <alignment horizontal="center" wrapText="1"/>
    </xf>
    <xf numFmtId="0" fontId="15" fillId="0" borderId="0" xfId="0" applyFont="1" applyFill="1" applyBorder="1" applyAlignment="1">
      <alignment horizontal="center"/>
    </xf>
    <xf numFmtId="3" fontId="14" fillId="0" borderId="0" xfId="28" applyNumberFormat="1" applyFont="1" applyFill="1" applyBorder="1" applyAlignment="1" applyProtection="1">
      <alignment horizontal="center"/>
      <protection locked="0"/>
    </xf>
    <xf numFmtId="167" fontId="6" fillId="0" borderId="0" xfId="40" applyNumberFormat="1" applyFont="1" applyFill="1" applyBorder="1" applyAlignment="1" applyProtection="1">
      <alignment horizontal="center"/>
      <protection locked="0"/>
    </xf>
    <xf numFmtId="0" fontId="1" fillId="0" borderId="0" xfId="0" applyFont="1" applyFill="1" applyBorder="1" applyAlignment="1"/>
    <xf numFmtId="0" fontId="0" fillId="0" borderId="0" xfId="0" applyFill="1" applyBorder="1" applyAlignment="1"/>
    <xf numFmtId="0" fontId="5" fillId="0" borderId="17" xfId="40" applyFont="1" applyBorder="1" applyAlignment="1" applyProtection="1">
      <alignment horizontal="centerContinuous" vertical="center"/>
      <protection locked="0"/>
    </xf>
    <xf numFmtId="0" fontId="5" fillId="0" borderId="17" xfId="40" applyFont="1" applyBorder="1" applyAlignment="1" applyProtection="1">
      <alignment horizontal="center" wrapText="1"/>
      <protection locked="0"/>
    </xf>
    <xf numFmtId="0" fontId="6" fillId="0" borderId="47" xfId="40" applyFont="1" applyBorder="1" applyAlignment="1" applyProtection="1">
      <alignment horizontal="center" vertical="top"/>
      <protection locked="0"/>
    </xf>
    <xf numFmtId="0" fontId="6" fillId="0" borderId="10" xfId="40" applyFont="1" applyBorder="1" applyAlignment="1" applyProtection="1">
      <alignment horizontal="center" vertical="top"/>
      <protection locked="0"/>
    </xf>
    <xf numFmtId="0" fontId="6" fillId="0" borderId="15" xfId="40" applyFont="1" applyBorder="1" applyAlignment="1" applyProtection="1">
      <alignment horizontal="center" vertical="top"/>
      <protection locked="0"/>
    </xf>
    <xf numFmtId="0" fontId="6" fillId="0" borderId="47" xfId="40" applyFont="1" applyBorder="1" applyAlignment="1" applyProtection="1">
      <alignment horizontal="center" vertical="top" wrapText="1"/>
      <protection locked="0"/>
    </xf>
    <xf numFmtId="0" fontId="6" fillId="0" borderId="10" xfId="40" applyFont="1" applyBorder="1" applyAlignment="1" applyProtection="1">
      <alignment horizontal="center" vertical="top" wrapText="1"/>
      <protection locked="0"/>
    </xf>
    <xf numFmtId="0" fontId="6" fillId="0" borderId="15" xfId="40" applyFont="1" applyBorder="1" applyAlignment="1" applyProtection="1">
      <alignment horizontal="center" vertical="top" wrapText="1"/>
      <protection locked="0"/>
    </xf>
    <xf numFmtId="0" fontId="16" fillId="0" borderId="138" xfId="0" applyFont="1" applyBorder="1"/>
    <xf numFmtId="165" fontId="18" fillId="24" borderId="150" xfId="40" applyNumberFormat="1" applyFont="1" applyFill="1" applyBorder="1" applyAlignment="1">
      <alignment horizontal="center"/>
    </xf>
    <xf numFmtId="165" fontId="18" fillId="24" borderId="42" xfId="40" applyNumberFormat="1" applyFont="1" applyFill="1" applyBorder="1" applyAlignment="1">
      <alignment horizontal="center"/>
    </xf>
    <xf numFmtId="165" fontId="18" fillId="24" borderId="151" xfId="40" applyNumberFormat="1" applyFont="1" applyFill="1" applyBorder="1" applyAlignment="1">
      <alignment horizontal="center"/>
    </xf>
    <xf numFmtId="3" fontId="14" fillId="25" borderId="152" xfId="28" applyNumberFormat="1" applyFont="1" applyFill="1" applyBorder="1" applyAlignment="1" applyProtection="1">
      <alignment horizontal="center"/>
      <protection locked="0"/>
    </xf>
    <xf numFmtId="3" fontId="14" fillId="25" borderId="43" xfId="28" applyNumberFormat="1" applyFont="1" applyFill="1" applyBorder="1" applyAlignment="1" applyProtection="1">
      <alignment horizontal="center"/>
      <protection locked="0"/>
    </xf>
    <xf numFmtId="3" fontId="14" fillId="25" borderId="153" xfId="28" applyNumberFormat="1" applyFont="1" applyFill="1" applyBorder="1" applyAlignment="1" applyProtection="1">
      <alignment horizontal="center"/>
      <protection locked="0"/>
    </xf>
    <xf numFmtId="0" fontId="58" fillId="0" borderId="128" xfId="0" applyFont="1" applyBorder="1" applyAlignment="1">
      <alignment horizontal="center" wrapText="1"/>
    </xf>
    <xf numFmtId="0" fontId="1" fillId="0" borderId="13" xfId="0" applyFont="1" applyBorder="1"/>
    <xf numFmtId="0" fontId="1" fillId="0" borderId="92" xfId="0" applyFont="1" applyBorder="1" applyAlignment="1">
      <alignment horizontal="left" indent="4"/>
    </xf>
    <xf numFmtId="3" fontId="4" fillId="25" borderId="45" xfId="0" applyNumberFormat="1" applyFont="1" applyFill="1" applyBorder="1" applyAlignment="1" applyProtection="1">
      <alignment horizontal="center"/>
      <protection locked="0"/>
    </xf>
    <xf numFmtId="3" fontId="4" fillId="25" borderId="47" xfId="0" applyNumberFormat="1" applyFont="1" applyFill="1" applyBorder="1" applyAlignment="1" applyProtection="1">
      <alignment horizontal="center"/>
      <protection locked="0"/>
    </xf>
    <xf numFmtId="3" fontId="4" fillId="25" borderId="46" xfId="0" applyNumberFormat="1" applyFont="1" applyFill="1" applyBorder="1" applyAlignment="1" applyProtection="1">
      <alignment horizontal="center"/>
      <protection locked="0"/>
    </xf>
    <xf numFmtId="4" fontId="21" fillId="0" borderId="0" xfId="0" applyNumberFormat="1" applyFont="1" applyFill="1" applyBorder="1" applyAlignment="1">
      <alignment horizontal="center" wrapText="1"/>
    </xf>
    <xf numFmtId="3" fontId="6" fillId="0" borderId="0" xfId="40" applyNumberFormat="1" applyFont="1"/>
    <xf numFmtId="164" fontId="6" fillId="0" borderId="0" xfId="40" applyNumberFormat="1" applyFont="1"/>
    <xf numFmtId="168" fontId="6" fillId="0" borderId="0" xfId="40" applyNumberFormat="1" applyFont="1"/>
    <xf numFmtId="8" fontId="6" fillId="0" borderId="0" xfId="40" applyNumberFormat="1" applyFont="1"/>
    <xf numFmtId="2" fontId="6" fillId="0" borderId="62" xfId="40" applyNumberFormat="1" applyFont="1" applyBorder="1" applyAlignment="1" applyProtection="1">
      <alignment horizontal="center"/>
      <protection locked="0"/>
    </xf>
    <xf numFmtId="14" fontId="6" fillId="0" borderId="33" xfId="40" applyNumberFormat="1" applyFont="1" applyBorder="1" applyAlignment="1" applyProtection="1">
      <alignment horizontal="center"/>
      <protection locked="0"/>
    </xf>
    <xf numFmtId="2" fontId="6" fillId="0" borderId="0" xfId="40" applyNumberFormat="1" applyFont="1" applyAlignment="1" applyProtection="1">
      <alignment horizontal="center"/>
      <protection locked="0"/>
    </xf>
    <xf numFmtId="2" fontId="43" fillId="24" borderId="42" xfId="40" applyNumberFormat="1" applyFont="1" applyFill="1" applyBorder="1" applyAlignment="1" applyProtection="1">
      <alignment horizontal="centerContinuous"/>
      <protection locked="0"/>
    </xf>
    <xf numFmtId="2" fontId="6" fillId="0" borderId="0" xfId="40" applyNumberFormat="1" applyFont="1" applyBorder="1" applyAlignment="1" applyProtection="1">
      <alignment horizontal="left"/>
      <protection locked="0"/>
    </xf>
    <xf numFmtId="2" fontId="44" fillId="24" borderId="146" xfId="40" applyNumberFormat="1" applyFont="1" applyFill="1" applyBorder="1" applyAlignment="1" applyProtection="1">
      <alignment horizontal="left"/>
      <protection locked="0"/>
    </xf>
    <xf numFmtId="2" fontId="5" fillId="24" borderId="97" xfId="40" applyNumberFormat="1" applyFont="1" applyFill="1" applyBorder="1" applyAlignment="1" applyProtection="1">
      <alignment horizontal="center" wrapText="1"/>
      <protection locked="0"/>
    </xf>
    <xf numFmtId="2" fontId="6" fillId="24" borderId="62" xfId="40" applyNumberFormat="1" applyFont="1" applyFill="1" applyBorder="1" applyAlignment="1" applyProtection="1">
      <alignment horizontal="center"/>
      <protection locked="0"/>
    </xf>
    <xf numFmtId="2" fontId="59" fillId="24" borderId="62" xfId="40" applyNumberFormat="1" applyFont="1" applyFill="1" applyBorder="1" applyAlignment="1" applyProtection="1">
      <alignment horizontal="center"/>
      <protection locked="0"/>
    </xf>
    <xf numFmtId="2" fontId="6" fillId="0" borderId="138" xfId="40" applyNumberFormat="1" applyFont="1" applyBorder="1" applyAlignment="1" applyProtection="1">
      <alignment horizontal="center"/>
      <protection locked="0"/>
    </xf>
    <xf numFmtId="14" fontId="6" fillId="0" borderId="0" xfId="40" applyNumberFormat="1" applyFont="1" applyAlignment="1" applyProtection="1">
      <alignment horizontal="center"/>
      <protection locked="0"/>
    </xf>
    <xf numFmtId="14" fontId="43" fillId="24" borderId="98" xfId="40" applyNumberFormat="1" applyFont="1" applyFill="1" applyBorder="1" applyAlignment="1" applyProtection="1">
      <alignment horizontal="centerContinuous"/>
      <protection locked="0"/>
    </xf>
    <xf numFmtId="14" fontId="6" fillId="0" borderId="0" xfId="40" applyNumberFormat="1" applyFont="1" applyBorder="1" applyAlignment="1" applyProtection="1">
      <alignment horizontal="left"/>
      <protection locked="0"/>
    </xf>
    <xf numFmtId="14" fontId="44" fillId="24" borderId="147" xfId="40" applyNumberFormat="1" applyFont="1" applyFill="1" applyBorder="1" applyAlignment="1" applyProtection="1">
      <alignment horizontal="left"/>
      <protection locked="0"/>
    </xf>
    <xf numFmtId="14" fontId="6" fillId="0" borderId="0" xfId="40" applyNumberFormat="1" applyFont="1" applyBorder="1" applyAlignment="1" applyProtection="1">
      <alignment horizontal="center"/>
      <protection locked="0"/>
    </xf>
    <xf numFmtId="14" fontId="5" fillId="24" borderId="42" xfId="40" applyNumberFormat="1" applyFont="1" applyFill="1" applyBorder="1" applyAlignment="1" applyProtection="1">
      <alignment horizontal="center" wrapText="1"/>
      <protection locked="0"/>
    </xf>
    <xf numFmtId="14" fontId="6" fillId="24" borderId="33" xfId="40" applyNumberFormat="1" applyFont="1" applyFill="1" applyBorder="1" applyAlignment="1" applyProtection="1">
      <alignment horizontal="center"/>
      <protection locked="0"/>
    </xf>
    <xf numFmtId="14" fontId="59" fillId="24" borderId="33" xfId="40" applyNumberFormat="1" applyFont="1" applyFill="1" applyBorder="1" applyAlignment="1" applyProtection="1">
      <alignment horizontal="right"/>
      <protection locked="0"/>
    </xf>
    <xf numFmtId="14" fontId="6" fillId="0" borderId="149" xfId="40" applyNumberFormat="1" applyFont="1" applyBorder="1" applyAlignment="1" applyProtection="1">
      <alignment horizontal="center"/>
      <protection locked="0"/>
    </xf>
    <xf numFmtId="0" fontId="6" fillId="0" borderId="0" xfId="40" applyFont="1" applyFill="1" applyProtection="1">
      <protection locked="0"/>
    </xf>
    <xf numFmtId="2" fontId="6" fillId="0" borderId="34" xfId="40" applyNumberFormat="1" applyFont="1" applyFill="1" applyBorder="1" applyAlignment="1" applyProtection="1">
      <alignment horizontal="center"/>
      <protection locked="0"/>
    </xf>
    <xf numFmtId="14" fontId="6" fillId="0" borderId="34" xfId="40" applyNumberFormat="1" applyFont="1" applyFill="1" applyBorder="1" applyAlignment="1" applyProtection="1">
      <alignment horizontal="center"/>
      <protection locked="0"/>
    </xf>
    <xf numFmtId="0" fontId="6" fillId="0" borderId="34" xfId="40" applyFont="1" applyFill="1" applyBorder="1" applyAlignment="1" applyProtection="1">
      <alignment horizontal="center"/>
      <protection locked="0"/>
    </xf>
    <xf numFmtId="2" fontId="5" fillId="0" borderId="62" xfId="40" applyNumberFormat="1" applyFont="1" applyFill="1" applyBorder="1" applyAlignment="1" applyProtection="1">
      <alignment horizontal="center" wrapText="1"/>
      <protection locked="0"/>
    </xf>
    <xf numFmtId="14" fontId="5" fillId="0" borderId="33" xfId="40" applyNumberFormat="1" applyFont="1" applyFill="1" applyBorder="1" applyAlignment="1" applyProtection="1">
      <alignment horizontal="center" wrapText="1"/>
      <protection locked="0"/>
    </xf>
    <xf numFmtId="0" fontId="5" fillId="0" borderId="33" xfId="40" applyFont="1" applyFill="1" applyBorder="1" applyAlignment="1" applyProtection="1">
      <alignment horizontal="center" wrapText="1"/>
      <protection locked="0"/>
    </xf>
    <xf numFmtId="0" fontId="5" fillId="0" borderId="104" xfId="40" applyFont="1" applyFill="1" applyBorder="1" applyAlignment="1" applyProtection="1">
      <alignment horizontal="center" wrapText="1"/>
      <protection locked="0"/>
    </xf>
    <xf numFmtId="2" fontId="6" fillId="0" borderId="62" xfId="40" applyNumberFormat="1" applyFont="1" applyFill="1" applyBorder="1" applyAlignment="1" applyProtection="1">
      <alignment horizontal="center" wrapText="1"/>
      <protection locked="0"/>
    </xf>
    <xf numFmtId="14" fontId="6" fillId="0" borderId="33" xfId="40" applyNumberFormat="1" applyFont="1" applyFill="1" applyBorder="1" applyAlignment="1" applyProtection="1">
      <alignment horizontal="center" wrapText="1"/>
      <protection locked="0"/>
    </xf>
    <xf numFmtId="0" fontId="6" fillId="0" borderId="33" xfId="40" applyFont="1" applyFill="1" applyBorder="1" applyAlignment="1" applyProtection="1">
      <alignment horizontal="center" wrapText="1"/>
      <protection locked="0"/>
    </xf>
    <xf numFmtId="0" fontId="6" fillId="0" borderId="104" xfId="40" applyFont="1" applyFill="1" applyBorder="1" applyAlignment="1" applyProtection="1">
      <alignment horizontal="center" wrapText="1"/>
      <protection locked="0"/>
    </xf>
    <xf numFmtId="0" fontId="62" fillId="0" borderId="103" xfId="0" applyNumberFormat="1" applyFont="1" applyBorder="1" applyAlignment="1">
      <alignment horizontal="center" vertical="center" wrapText="1"/>
    </xf>
    <xf numFmtId="42" fontId="62" fillId="0" borderId="103" xfId="0" applyNumberFormat="1" applyFont="1" applyBorder="1" applyAlignment="1">
      <alignment horizontal="center" vertical="center" wrapText="1"/>
    </xf>
    <xf numFmtId="0" fontId="6" fillId="0" borderId="33" xfId="40" applyFont="1" applyBorder="1" applyAlignment="1" applyProtection="1">
      <alignment horizontal="center" wrapText="1"/>
      <protection locked="0"/>
    </xf>
    <xf numFmtId="0" fontId="46" fillId="0" borderId="81" xfId="40" applyFont="1" applyFill="1" applyBorder="1" applyAlignment="1" applyProtection="1">
      <alignment horizontal="center" vertical="center" wrapText="1"/>
      <protection locked="0"/>
    </xf>
    <xf numFmtId="0" fontId="46" fillId="0" borderId="81" xfId="40" applyFont="1" applyFill="1" applyBorder="1" applyAlignment="1" applyProtection="1">
      <alignment horizontal="center" vertical="center"/>
      <protection locked="0"/>
    </xf>
    <xf numFmtId="3" fontId="1" fillId="25" borderId="20" xfId="0" applyNumberFormat="1" applyFont="1" applyFill="1" applyBorder="1" applyAlignment="1" applyProtection="1">
      <alignment horizontal="center"/>
      <protection locked="0"/>
    </xf>
    <xf numFmtId="170" fontId="4" fillId="0" borderId="0" xfId="28" applyNumberFormat="1" applyFont="1" applyFill="1" applyBorder="1" applyAlignment="1">
      <alignment horizontal="center"/>
    </xf>
    <xf numFmtId="4" fontId="1" fillId="25" borderId="47" xfId="0" applyNumberFormat="1" applyFont="1" applyFill="1" applyBorder="1" applyAlignment="1" applyProtection="1">
      <alignment horizontal="center"/>
      <protection locked="0"/>
    </xf>
    <xf numFmtId="3" fontId="1" fillId="25" borderId="10" xfId="0" applyNumberFormat="1" applyFont="1" applyFill="1" applyBorder="1" applyAlignment="1" applyProtection="1">
      <alignment horizontal="center"/>
      <protection locked="0"/>
    </xf>
    <xf numFmtId="3" fontId="1" fillId="25" borderId="25" xfId="0" applyNumberFormat="1" applyFont="1" applyFill="1" applyBorder="1" applyAlignment="1" applyProtection="1">
      <alignment horizontal="center"/>
      <protection locked="0"/>
    </xf>
    <xf numFmtId="4" fontId="1" fillId="25" borderId="45" xfId="0" applyNumberFormat="1" applyFont="1" applyFill="1" applyBorder="1" applyAlignment="1" applyProtection="1">
      <alignment horizontal="center"/>
      <protection locked="0"/>
    </xf>
    <xf numFmtId="3" fontId="1" fillId="25" borderId="28" xfId="0" applyNumberFormat="1" applyFont="1" applyFill="1" applyBorder="1" applyAlignment="1" applyProtection="1">
      <alignment horizontal="center"/>
      <protection locked="0"/>
    </xf>
    <xf numFmtId="3" fontId="1" fillId="25" borderId="35" xfId="0" applyNumberFormat="1" applyFont="1" applyFill="1" applyBorder="1" applyAlignment="1" applyProtection="1">
      <alignment horizontal="center"/>
      <protection locked="0"/>
    </xf>
    <xf numFmtId="171" fontId="4" fillId="25" borderId="35" xfId="0" applyNumberFormat="1" applyFont="1" applyFill="1" applyBorder="1" applyAlignment="1" applyProtection="1">
      <alignment horizontal="center"/>
      <protection locked="0"/>
    </xf>
    <xf numFmtId="171" fontId="4" fillId="25" borderId="25" xfId="0" applyNumberFormat="1" applyFont="1" applyFill="1" applyBorder="1" applyAlignment="1" applyProtection="1">
      <alignment horizontal="center"/>
      <protection locked="0"/>
    </xf>
    <xf numFmtId="0" fontId="6" fillId="24" borderId="33" xfId="40" applyFont="1" applyFill="1" applyBorder="1" applyAlignment="1" applyProtection="1">
      <alignment horizontal="center" wrapText="1"/>
      <protection locked="0"/>
    </xf>
    <xf numFmtId="0" fontId="6" fillId="0" borderId="34" xfId="40" applyFont="1" applyFill="1" applyBorder="1" applyAlignment="1" applyProtection="1">
      <alignment horizontal="center" wrapText="1"/>
      <protection locked="0"/>
    </xf>
    <xf numFmtId="14" fontId="6" fillId="0" borderId="33" xfId="40" applyNumberFormat="1" applyFont="1" applyBorder="1" applyAlignment="1" applyProtection="1">
      <alignment horizontal="center" wrapText="1"/>
      <protection locked="0"/>
    </xf>
    <xf numFmtId="0" fontId="62" fillId="0" borderId="103" xfId="0" applyNumberFormat="1" applyFont="1" applyFill="1" applyBorder="1" applyAlignment="1">
      <alignment horizontal="center" vertical="center" wrapText="1"/>
    </xf>
    <xf numFmtId="3" fontId="1" fillId="25" borderId="49" xfId="0" applyNumberFormat="1" applyFont="1" applyFill="1" applyBorder="1" applyAlignment="1" applyProtection="1">
      <alignment horizontal="center"/>
      <protection locked="0"/>
    </xf>
    <xf numFmtId="3" fontId="14" fillId="25" borderId="34" xfId="40" applyNumberFormat="1" applyFont="1" applyFill="1" applyBorder="1" applyAlignment="1" applyProtection="1">
      <alignment horizontal="right"/>
      <protection locked="0"/>
    </xf>
    <xf numFmtId="0" fontId="1" fillId="24" borderId="90" xfId="0" applyFont="1" applyFill="1" applyBorder="1"/>
    <xf numFmtId="0" fontId="1" fillId="24" borderId="87" xfId="0" applyFont="1" applyFill="1" applyBorder="1"/>
    <xf numFmtId="0" fontId="46" fillId="0" borderId="81" xfId="40" applyFont="1" applyFill="1" applyBorder="1" applyAlignment="1" applyProtection="1">
      <alignment horizontal="center" vertical="center" wrapText="1"/>
      <protection locked="0"/>
    </xf>
    <xf numFmtId="172" fontId="1" fillId="0" borderId="0" xfId="46" applyNumberFormat="1" applyFont="1"/>
    <xf numFmtId="10" fontId="1" fillId="0" borderId="0" xfId="46" applyNumberFormat="1" applyFont="1"/>
    <xf numFmtId="0" fontId="46" fillId="0" borderId="81" xfId="40" applyFont="1" applyFill="1" applyBorder="1" applyAlignment="1" applyProtection="1">
      <alignment horizontal="center" vertical="center" wrapText="1"/>
      <protection locked="0"/>
    </xf>
    <xf numFmtId="0" fontId="46" fillId="0" borderId="81" xfId="40" applyFont="1" applyFill="1" applyBorder="1" applyAlignment="1" applyProtection="1">
      <alignment horizontal="center" vertical="center"/>
      <protection locked="0"/>
    </xf>
    <xf numFmtId="164" fontId="6" fillId="28" borderId="28" xfId="40" applyNumberFormat="1" applyFont="1" applyFill="1" applyBorder="1" applyAlignment="1" applyProtection="1">
      <alignment horizontal="center"/>
      <protection locked="0"/>
    </xf>
    <xf numFmtId="0" fontId="46" fillId="24" borderId="81" xfId="40" applyFont="1" applyFill="1" applyBorder="1" applyAlignment="1">
      <alignment horizontal="center" wrapText="1"/>
    </xf>
    <xf numFmtId="0" fontId="9" fillId="0" borderId="103" xfId="40" applyNumberFormat="1" applyFont="1" applyFill="1" applyBorder="1" applyAlignment="1" applyProtection="1">
      <alignment horizontal="center" vertical="center" wrapText="1"/>
      <protection locked="0"/>
    </xf>
    <xf numFmtId="0" fontId="59" fillId="0" borderId="0" xfId="40" applyFont="1"/>
    <xf numFmtId="4" fontId="4" fillId="25" borderId="44" xfId="0" applyNumberFormat="1" applyFont="1" applyFill="1" applyBorder="1" applyAlignment="1" applyProtection="1">
      <alignment horizontal="center"/>
      <protection locked="0"/>
    </xf>
    <xf numFmtId="9" fontId="9" fillId="0" borderId="28" xfId="40" quotePrefix="1" applyNumberFormat="1" applyFont="1" applyFill="1" applyBorder="1" applyAlignment="1">
      <alignment horizontal="center"/>
    </xf>
    <xf numFmtId="9" fontId="10" fillId="0" borderId="133" xfId="40" quotePrefix="1" applyNumberFormat="1" applyFont="1" applyFill="1" applyBorder="1" applyAlignment="1">
      <alignment horizontal="center"/>
    </xf>
    <xf numFmtId="3" fontId="4" fillId="0" borderId="0" xfId="0" applyNumberFormat="1" applyFont="1"/>
    <xf numFmtId="0" fontId="13" fillId="24" borderId="87" xfId="0" applyFont="1" applyFill="1" applyBorder="1" applyAlignment="1">
      <alignment wrapText="1"/>
    </xf>
    <xf numFmtId="0" fontId="1" fillId="24" borderId="87" xfId="0" applyFont="1" applyFill="1" applyBorder="1" applyAlignment="1">
      <alignment wrapText="1"/>
    </xf>
    <xf numFmtId="0" fontId="5" fillId="0" borderId="143" xfId="40" applyFont="1" applyFill="1" applyBorder="1" applyAlignment="1">
      <alignment horizontal="center" vertical="center" wrapText="1"/>
    </xf>
    <xf numFmtId="0" fontId="5" fillId="0" borderId="154" xfId="40" applyFont="1" applyFill="1" applyBorder="1" applyAlignment="1">
      <alignment horizontal="center" vertical="center" wrapText="1"/>
    </xf>
    <xf numFmtId="0" fontId="5" fillId="0" borderId="49" xfId="40" applyFont="1" applyFill="1" applyBorder="1" applyAlignment="1">
      <alignment horizontal="center" vertical="center" wrapText="1"/>
    </xf>
    <xf numFmtId="0" fontId="4" fillId="24" borderId="22" xfId="0" applyFont="1" applyFill="1" applyBorder="1" applyAlignment="1">
      <alignment horizontal="center" wrapText="1"/>
    </xf>
    <xf numFmtId="0" fontId="4" fillId="24" borderId="21" xfId="0" applyFont="1" applyFill="1" applyBorder="1" applyAlignment="1">
      <alignment horizontal="center" wrapText="1"/>
    </xf>
    <xf numFmtId="4" fontId="4" fillId="24" borderId="28" xfId="0" applyNumberFormat="1" applyFont="1" applyFill="1" applyBorder="1" applyAlignment="1">
      <alignment horizontal="center"/>
    </xf>
    <xf numFmtId="4" fontId="4" fillId="24" borderId="34" xfId="0" applyNumberFormat="1" applyFont="1" applyFill="1" applyBorder="1" applyAlignment="1">
      <alignment horizontal="center"/>
    </xf>
    <xf numFmtId="3" fontId="4" fillId="24" borderId="35" xfId="0" applyNumberFormat="1" applyFont="1" applyFill="1" applyBorder="1" applyAlignment="1">
      <alignment horizontal="center" wrapText="1"/>
    </xf>
    <xf numFmtId="3" fontId="4" fillId="24" borderId="37" xfId="0" applyNumberFormat="1" applyFont="1" applyFill="1" applyBorder="1" applyAlignment="1">
      <alignment horizontal="center" wrapText="1"/>
    </xf>
    <xf numFmtId="0" fontId="5" fillId="24" borderId="24" xfId="40" applyFont="1" applyFill="1" applyBorder="1" applyAlignment="1">
      <alignment horizontal="center"/>
    </xf>
    <xf numFmtId="0" fontId="5" fillId="24" borderId="15" xfId="40" applyFont="1" applyFill="1" applyBorder="1" applyAlignment="1">
      <alignment horizontal="center"/>
    </xf>
    <xf numFmtId="0" fontId="5" fillId="24" borderId="140" xfId="40" applyFont="1" applyFill="1" applyBorder="1" applyAlignment="1">
      <alignment horizontal="center"/>
    </xf>
    <xf numFmtId="0" fontId="5" fillId="24" borderId="52" xfId="40" applyFont="1" applyFill="1" applyBorder="1" applyAlignment="1">
      <alignment horizontal="center"/>
    </xf>
    <xf numFmtId="0" fontId="5" fillId="24" borderId="53" xfId="40" applyFont="1" applyFill="1" applyBorder="1" applyAlignment="1">
      <alignment horizontal="center"/>
    </xf>
    <xf numFmtId="0" fontId="5" fillId="24" borderId="11" xfId="40" applyFont="1" applyFill="1" applyBorder="1" applyAlignment="1">
      <alignment horizontal="center" wrapText="1"/>
    </xf>
    <xf numFmtId="0" fontId="5" fillId="24" borderId="12" xfId="40" applyFont="1" applyFill="1" applyBorder="1" applyAlignment="1">
      <alignment horizontal="center" wrapText="1"/>
    </xf>
    <xf numFmtId="0" fontId="7" fillId="24" borderId="140" xfId="40" applyFont="1" applyFill="1" applyBorder="1" applyAlignment="1">
      <alignment horizontal="center"/>
    </xf>
    <xf numFmtId="0" fontId="7" fillId="24" borderId="53" xfId="40" applyFont="1" applyFill="1" applyBorder="1" applyAlignment="1">
      <alignment horizontal="center"/>
    </xf>
    <xf numFmtId="0" fontId="5" fillId="24" borderId="29" xfId="40" applyFont="1" applyFill="1" applyBorder="1" applyAlignment="1">
      <alignment horizontal="center" vertical="center" wrapText="1"/>
    </xf>
    <xf numFmtId="0" fontId="5" fillId="24" borderId="155" xfId="40" applyFont="1" applyFill="1" applyBorder="1" applyAlignment="1">
      <alignment horizontal="center" vertical="center" wrapText="1"/>
    </xf>
    <xf numFmtId="0" fontId="5" fillId="24" borderId="44" xfId="40" applyFont="1" applyFill="1" applyBorder="1" applyAlignment="1">
      <alignment horizontal="center" vertical="center" wrapText="1"/>
    </xf>
    <xf numFmtId="0" fontId="5" fillId="24" borderId="136" xfId="40" applyFont="1" applyFill="1" applyBorder="1" applyAlignment="1">
      <alignment horizontal="center" vertical="center" wrapText="1"/>
    </xf>
    <xf numFmtId="0" fontId="5" fillId="24" borderId="51" xfId="40" applyFont="1" applyFill="1" applyBorder="1" applyAlignment="1">
      <alignment horizontal="center" vertical="center" wrapText="1"/>
    </xf>
    <xf numFmtId="0" fontId="5" fillId="24" borderId="156" xfId="40" applyFont="1" applyFill="1" applyBorder="1" applyAlignment="1">
      <alignment horizontal="center" vertical="center" wrapText="1"/>
    </xf>
    <xf numFmtId="0" fontId="5" fillId="0" borderId="140" xfId="40" applyFont="1" applyBorder="1" applyAlignment="1">
      <alignment horizontal="center" vertical="center"/>
    </xf>
    <xf numFmtId="0" fontId="5" fillId="0" borderId="53" xfId="40" applyFont="1" applyBorder="1" applyAlignment="1">
      <alignment horizontal="center" vertical="center"/>
    </xf>
    <xf numFmtId="0" fontId="5" fillId="0" borderId="140" xfId="40" applyFont="1" applyBorder="1" applyAlignment="1">
      <alignment horizontal="center"/>
    </xf>
    <xf numFmtId="0" fontId="5" fillId="0" borderId="53" xfId="40" applyFont="1" applyBorder="1" applyAlignment="1">
      <alignment horizontal="center"/>
    </xf>
    <xf numFmtId="0" fontId="5" fillId="0" borderId="29" xfId="40" applyFont="1" applyBorder="1" applyAlignment="1">
      <alignment horizontal="center"/>
    </xf>
    <xf numFmtId="0" fontId="5" fillId="0" borderId="155" xfId="40" applyFont="1" applyBorder="1" applyAlignment="1">
      <alignment horizontal="center"/>
    </xf>
    <xf numFmtId="0" fontId="5" fillId="0" borderId="44" xfId="40" applyFont="1" applyBorder="1" applyAlignment="1">
      <alignment horizontal="center"/>
    </xf>
    <xf numFmtId="0" fontId="5" fillId="24" borderId="11" xfId="40" applyFont="1" applyFill="1" applyBorder="1" applyAlignment="1">
      <alignment horizontal="center" vertical="center" wrapText="1"/>
    </xf>
    <xf numFmtId="0" fontId="5" fillId="24" borderId="12" xfId="40" applyFont="1" applyFill="1" applyBorder="1" applyAlignment="1">
      <alignment horizontal="center" vertical="center" wrapText="1"/>
    </xf>
    <xf numFmtId="0" fontId="2" fillId="24" borderId="42" xfId="0" applyFont="1" applyFill="1" applyBorder="1" applyAlignment="1">
      <alignment horizontal="center"/>
    </xf>
    <xf numFmtId="0" fontId="2" fillId="24" borderId="98" xfId="0" applyFont="1" applyFill="1" applyBorder="1" applyAlignment="1">
      <alignment horizontal="center"/>
    </xf>
    <xf numFmtId="0" fontId="2" fillId="24" borderId="43" xfId="0" applyFont="1" applyFill="1" applyBorder="1" applyAlignment="1">
      <alignment horizontal="center"/>
    </xf>
    <xf numFmtId="0" fontId="7" fillId="25" borderId="42" xfId="0" applyFont="1" applyFill="1" applyBorder="1" applyAlignment="1" applyProtection="1">
      <alignment horizontal="left"/>
      <protection locked="0"/>
    </xf>
    <xf numFmtId="0" fontId="7" fillId="25" borderId="98" xfId="0" applyFont="1" applyFill="1" applyBorder="1" applyAlignment="1" applyProtection="1">
      <alignment horizontal="left"/>
      <protection locked="0"/>
    </xf>
    <xf numFmtId="0" fontId="7" fillId="25" borderId="43" xfId="0" applyFont="1" applyFill="1" applyBorder="1" applyAlignment="1" applyProtection="1">
      <alignment horizontal="left"/>
      <protection locked="0"/>
    </xf>
    <xf numFmtId="0" fontId="5" fillId="25" borderId="31" xfId="40" applyFont="1" applyFill="1" applyBorder="1" applyAlignment="1" applyProtection="1">
      <alignment horizontal="left" vertical="top" wrapText="1"/>
      <protection locked="0"/>
    </xf>
    <xf numFmtId="0" fontId="5" fillId="25" borderId="32" xfId="40" applyFont="1" applyFill="1" applyBorder="1" applyAlignment="1" applyProtection="1">
      <alignment horizontal="left" vertical="top" wrapText="1"/>
      <protection locked="0"/>
    </xf>
    <xf numFmtId="0" fontId="5" fillId="25" borderId="38" xfId="40" applyFont="1" applyFill="1" applyBorder="1" applyAlignment="1" applyProtection="1">
      <alignment horizontal="left" vertical="top" wrapText="1"/>
      <protection locked="0"/>
    </xf>
    <xf numFmtId="0" fontId="5" fillId="25" borderId="33" xfId="40" applyFont="1" applyFill="1" applyBorder="1" applyAlignment="1" applyProtection="1">
      <alignment horizontal="left" vertical="top" wrapText="1"/>
      <protection locked="0"/>
    </xf>
    <xf numFmtId="0" fontId="5" fillId="25" borderId="0" xfId="40" applyFont="1" applyFill="1" applyBorder="1" applyAlignment="1" applyProtection="1">
      <alignment horizontal="left" vertical="top" wrapText="1"/>
      <protection locked="0"/>
    </xf>
    <xf numFmtId="0" fontId="5" fillId="25" borderId="39" xfId="40" applyFont="1" applyFill="1" applyBorder="1" applyAlignment="1" applyProtection="1">
      <alignment horizontal="left" vertical="top" wrapText="1"/>
      <protection locked="0"/>
    </xf>
    <xf numFmtId="0" fontId="5" fillId="25" borderId="41" xfId="40" applyFont="1" applyFill="1" applyBorder="1" applyAlignment="1" applyProtection="1">
      <alignment horizontal="left" vertical="top" wrapText="1"/>
      <protection locked="0"/>
    </xf>
    <xf numFmtId="0" fontId="5" fillId="25" borderId="51" xfId="40" applyFont="1" applyFill="1" applyBorder="1" applyAlignment="1" applyProtection="1">
      <alignment horizontal="left" vertical="top" wrapText="1"/>
      <protection locked="0"/>
    </xf>
    <xf numFmtId="0" fontId="5" fillId="25" borderId="40" xfId="40" applyFont="1" applyFill="1" applyBorder="1" applyAlignment="1" applyProtection="1">
      <alignment horizontal="left" vertical="top" wrapText="1"/>
      <protection locked="0"/>
    </xf>
    <xf numFmtId="167" fontId="4" fillId="25" borderId="34" xfId="0" applyNumberFormat="1" applyFont="1" applyFill="1" applyBorder="1" applyAlignment="1" applyProtection="1">
      <alignment horizontal="left"/>
      <protection locked="0"/>
    </xf>
    <xf numFmtId="0" fontId="6" fillId="25" borderId="34" xfId="40" applyFont="1" applyFill="1" applyBorder="1" applyAlignment="1" applyProtection="1">
      <alignment horizontal="left"/>
      <protection locked="0"/>
    </xf>
    <xf numFmtId="0" fontId="6" fillId="25" borderId="42" xfId="40" applyFont="1" applyFill="1" applyBorder="1" applyAlignment="1" applyProtection="1">
      <alignment horizontal="left"/>
      <protection locked="0"/>
    </xf>
    <xf numFmtId="0" fontId="0" fillId="0" borderId="98" xfId="0" applyBorder="1" applyProtection="1">
      <protection locked="0"/>
    </xf>
    <xf numFmtId="0" fontId="0" fillId="0" borderId="43" xfId="0" applyBorder="1" applyProtection="1">
      <protection locked="0"/>
    </xf>
    <xf numFmtId="0" fontId="1" fillId="25" borderId="34" xfId="0" applyFont="1" applyFill="1" applyBorder="1" applyAlignment="1" applyProtection="1">
      <alignment horizontal="left"/>
      <protection locked="0"/>
    </xf>
    <xf numFmtId="0" fontId="4" fillId="25" borderId="34" xfId="0" applyFont="1" applyFill="1" applyBorder="1" applyAlignment="1" applyProtection="1">
      <alignment horizontal="left"/>
      <protection locked="0"/>
    </xf>
    <xf numFmtId="167" fontId="4" fillId="25" borderId="42" xfId="0" applyNumberFormat="1" applyFont="1" applyFill="1" applyBorder="1" applyAlignment="1" applyProtection="1">
      <alignment horizontal="left"/>
      <protection locked="0"/>
    </xf>
    <xf numFmtId="167" fontId="4" fillId="25" borderId="98" xfId="0" applyNumberFormat="1" applyFont="1" applyFill="1" applyBorder="1" applyAlignment="1" applyProtection="1">
      <alignment horizontal="left"/>
      <protection locked="0"/>
    </xf>
    <xf numFmtId="167" fontId="4" fillId="25" borderId="43" xfId="0" applyNumberFormat="1" applyFont="1" applyFill="1" applyBorder="1" applyAlignment="1" applyProtection="1">
      <alignment horizontal="left"/>
      <protection locked="0"/>
    </xf>
    <xf numFmtId="0" fontId="5" fillId="24" borderId="45" xfId="40" applyFont="1" applyFill="1" applyBorder="1" applyAlignment="1">
      <alignment horizontal="center"/>
    </xf>
    <xf numFmtId="0" fontId="5" fillId="24" borderId="50" xfId="40" applyFont="1" applyFill="1" applyBorder="1" applyAlignment="1">
      <alignment horizontal="center"/>
    </xf>
    <xf numFmtId="0" fontId="5" fillId="0" borderId="142" xfId="40" applyFont="1" applyFill="1" applyBorder="1" applyAlignment="1">
      <alignment horizontal="center"/>
    </xf>
    <xf numFmtId="0" fontId="5" fillId="0" borderId="98" xfId="40" applyFont="1" applyFill="1" applyBorder="1" applyAlignment="1">
      <alignment horizontal="center"/>
    </xf>
    <xf numFmtId="0" fontId="5" fillId="0" borderId="48" xfId="40" applyFont="1" applyFill="1" applyBorder="1" applyAlignment="1">
      <alignment horizontal="center"/>
    </xf>
    <xf numFmtId="0" fontId="17" fillId="24" borderId="45" xfId="40" applyFont="1" applyFill="1" applyBorder="1" applyAlignment="1">
      <alignment horizontal="center"/>
    </xf>
    <xf numFmtId="0" fontId="17" fillId="24" borderId="100" xfId="40" applyFont="1" applyFill="1" applyBorder="1" applyAlignment="1">
      <alignment horizontal="center"/>
    </xf>
    <xf numFmtId="0" fontId="17" fillId="24" borderId="50" xfId="40" applyFont="1" applyFill="1" applyBorder="1" applyAlignment="1">
      <alignment horizontal="center"/>
    </xf>
    <xf numFmtId="0" fontId="20" fillId="24" borderId="45" xfId="40" applyFont="1" applyFill="1" applyBorder="1" applyAlignment="1">
      <alignment horizontal="center"/>
    </xf>
    <xf numFmtId="0" fontId="20" fillId="24" borderId="100" xfId="40" applyFont="1" applyFill="1" applyBorder="1" applyAlignment="1">
      <alignment horizontal="center"/>
    </xf>
    <xf numFmtId="0" fontId="20" fillId="24" borderId="50" xfId="40" applyFont="1" applyFill="1" applyBorder="1" applyAlignment="1">
      <alignment horizontal="center"/>
    </xf>
    <xf numFmtId="0" fontId="25" fillId="24" borderId="31" xfId="40" applyFont="1" applyFill="1" applyBorder="1" applyAlignment="1">
      <alignment horizontal="center" vertical="center"/>
    </xf>
    <xf numFmtId="0" fontId="25" fillId="24" borderId="32" xfId="40" applyFont="1" applyFill="1" applyBorder="1" applyAlignment="1">
      <alignment horizontal="center" vertical="center"/>
    </xf>
    <xf numFmtId="0" fontId="25" fillId="24" borderId="38" xfId="40" applyFont="1" applyFill="1" applyBorder="1" applyAlignment="1">
      <alignment horizontal="center" vertical="center"/>
    </xf>
    <xf numFmtId="0" fontId="25" fillId="24" borderId="41" xfId="40" applyFont="1" applyFill="1" applyBorder="1" applyAlignment="1">
      <alignment horizontal="center" vertical="center"/>
    </xf>
    <xf numFmtId="0" fontId="25" fillId="24" borderId="51" xfId="40" applyFont="1" applyFill="1" applyBorder="1" applyAlignment="1">
      <alignment horizontal="center" vertical="center"/>
    </xf>
    <xf numFmtId="0" fontId="25" fillId="24" borderId="40" xfId="40" applyFont="1" applyFill="1" applyBorder="1" applyAlignment="1">
      <alignment horizontal="center" vertical="center"/>
    </xf>
    <xf numFmtId="0" fontId="50" fillId="24" borderId="42" xfId="0" applyFont="1" applyFill="1" applyBorder="1" applyAlignment="1">
      <alignment horizontal="center"/>
    </xf>
    <xf numFmtId="0" fontId="50" fillId="24" borderId="98" xfId="0" applyFont="1" applyFill="1" applyBorder="1" applyAlignment="1">
      <alignment horizontal="center"/>
    </xf>
    <xf numFmtId="0" fontId="50" fillId="24" borderId="43" xfId="0" applyFont="1" applyFill="1" applyBorder="1" applyAlignment="1">
      <alignment horizontal="center"/>
    </xf>
    <xf numFmtId="0" fontId="24" fillId="24" borderId="31" xfId="40" applyFont="1" applyFill="1" applyBorder="1" applyAlignment="1">
      <alignment horizontal="center"/>
    </xf>
    <xf numFmtId="0" fontId="24" fillId="24" borderId="32" xfId="40" applyFont="1" applyFill="1" applyBorder="1" applyAlignment="1">
      <alignment horizontal="center"/>
    </xf>
    <xf numFmtId="0" fontId="24" fillId="24" borderId="38" xfId="40" applyFont="1" applyFill="1" applyBorder="1" applyAlignment="1">
      <alignment horizontal="center"/>
    </xf>
    <xf numFmtId="0" fontId="24" fillId="24" borderId="41" xfId="40" applyFont="1" applyFill="1" applyBorder="1" applyAlignment="1">
      <alignment horizontal="center"/>
    </xf>
    <xf numFmtId="0" fontId="24" fillId="24" borderId="51" xfId="40" applyFont="1" applyFill="1" applyBorder="1" applyAlignment="1">
      <alignment horizontal="center"/>
    </xf>
    <xf numFmtId="0" fontId="24" fillId="24" borderId="40" xfId="40" applyFont="1" applyFill="1" applyBorder="1" applyAlignment="1">
      <alignment horizontal="center"/>
    </xf>
    <xf numFmtId="0" fontId="24" fillId="24" borderId="31" xfId="40" applyFont="1" applyFill="1" applyBorder="1" applyAlignment="1">
      <alignment horizontal="center" vertical="center"/>
    </xf>
    <xf numFmtId="0" fontId="24" fillId="24" borderId="32" xfId="40" applyFont="1" applyFill="1" applyBorder="1" applyAlignment="1">
      <alignment horizontal="center" vertical="center"/>
    </xf>
    <xf numFmtId="0" fontId="24" fillId="24" borderId="38" xfId="40" applyFont="1" applyFill="1" applyBorder="1" applyAlignment="1">
      <alignment horizontal="center" vertical="center"/>
    </xf>
    <xf numFmtId="0" fontId="24" fillId="24" borderId="41" xfId="40" applyFont="1" applyFill="1" applyBorder="1" applyAlignment="1">
      <alignment horizontal="center" vertical="center"/>
    </xf>
    <xf numFmtId="0" fontId="24" fillId="24" borderId="51" xfId="40" applyFont="1" applyFill="1" applyBorder="1" applyAlignment="1">
      <alignment horizontal="center" vertical="center"/>
    </xf>
    <xf numFmtId="0" fontId="24" fillId="24" borderId="40" xfId="40" applyFont="1" applyFill="1" applyBorder="1" applyAlignment="1">
      <alignment horizontal="center" vertical="center"/>
    </xf>
    <xf numFmtId="0" fontId="51" fillId="24" borderId="157" xfId="0" applyFont="1" applyFill="1" applyBorder="1" applyAlignment="1">
      <alignment horizontal="center"/>
    </xf>
    <xf numFmtId="0" fontId="51" fillId="24" borderId="158" xfId="0" applyFont="1" applyFill="1" applyBorder="1" applyAlignment="1">
      <alignment horizontal="center"/>
    </xf>
    <xf numFmtId="0" fontId="51" fillId="24" borderId="159" xfId="0" applyFont="1" applyFill="1" applyBorder="1" applyAlignment="1">
      <alignment horizontal="center"/>
    </xf>
    <xf numFmtId="0" fontId="15" fillId="24" borderId="140" xfId="0" applyFont="1" applyFill="1" applyBorder="1" applyAlignment="1">
      <alignment horizontal="center"/>
    </xf>
    <xf numFmtId="0" fontId="15" fillId="24" borderId="53" xfId="0" applyFont="1" applyFill="1" applyBorder="1" applyAlignment="1">
      <alignment horizontal="center"/>
    </xf>
    <xf numFmtId="0" fontId="48" fillId="0" borderId="155" xfId="0" applyFont="1" applyBorder="1" applyAlignment="1">
      <alignment horizontal="center" wrapText="1"/>
    </xf>
    <xf numFmtId="0" fontId="48" fillId="0" borderId="0" xfId="0" applyFont="1" applyBorder="1" applyAlignment="1">
      <alignment horizontal="center" wrapText="1"/>
    </xf>
    <xf numFmtId="0" fontId="15" fillId="24" borderId="26" xfId="0" applyFont="1" applyFill="1" applyBorder="1" applyAlignment="1">
      <alignment horizontal="center"/>
    </xf>
    <xf numFmtId="0" fontId="15" fillId="24" borderId="27" xfId="0" applyFont="1" applyFill="1" applyBorder="1" applyAlignment="1">
      <alignment horizontal="center"/>
    </xf>
    <xf numFmtId="0" fontId="48" fillId="0" borderId="44" xfId="0" applyFont="1" applyBorder="1" applyAlignment="1">
      <alignment horizontal="center" wrapText="1"/>
    </xf>
    <xf numFmtId="0" fontId="48" fillId="0" borderId="139" xfId="0" applyFont="1" applyBorder="1" applyAlignment="1">
      <alignment horizontal="center" wrapText="1"/>
    </xf>
    <xf numFmtId="0" fontId="22" fillId="0" borderId="44" xfId="0" applyFont="1" applyBorder="1" applyAlignment="1">
      <alignment horizontal="center" wrapText="1"/>
    </xf>
    <xf numFmtId="0" fontId="22" fillId="0" borderId="139" xfId="0" applyFont="1" applyBorder="1" applyAlignment="1">
      <alignment horizontal="center" wrapText="1"/>
    </xf>
    <xf numFmtId="0" fontId="15" fillId="24" borderId="160" xfId="0" applyFont="1" applyFill="1" applyBorder="1" applyAlignment="1">
      <alignment horizontal="center"/>
    </xf>
    <xf numFmtId="0" fontId="15" fillId="24" borderId="64" xfId="0" applyFont="1" applyFill="1" applyBorder="1" applyAlignment="1">
      <alignment horizontal="center" vertical="center" wrapText="1"/>
    </xf>
    <xf numFmtId="0" fontId="15" fillId="24" borderId="68" xfId="0" applyFont="1" applyFill="1" applyBorder="1" applyAlignment="1">
      <alignment horizontal="center" vertical="center" wrapText="1"/>
    </xf>
    <xf numFmtId="0" fontId="15" fillId="24" borderId="90" xfId="0" applyFont="1" applyFill="1" applyBorder="1" applyAlignment="1">
      <alignment horizontal="center" vertical="center" wrapText="1"/>
    </xf>
    <xf numFmtId="0" fontId="22" fillId="0" borderId="161" xfId="0" applyFont="1" applyBorder="1" applyAlignment="1">
      <alignment horizontal="center" wrapText="1"/>
    </xf>
    <xf numFmtId="0" fontId="22" fillId="0" borderId="63" xfId="0" applyFont="1" applyBorder="1" applyAlignment="1">
      <alignment horizontal="center" wrapText="1"/>
    </xf>
    <xf numFmtId="0" fontId="7" fillId="24" borderId="29" xfId="0" applyFont="1" applyFill="1" applyBorder="1" applyAlignment="1">
      <alignment horizontal="center"/>
    </xf>
    <xf numFmtId="0" fontId="7" fillId="24" borderId="155" xfId="0" applyFont="1" applyFill="1" applyBorder="1" applyAlignment="1">
      <alignment horizontal="center"/>
    </xf>
    <xf numFmtId="0" fontId="7" fillId="24" borderId="44" xfId="0" applyFont="1" applyFill="1" applyBorder="1" applyAlignment="1">
      <alignment horizontal="center"/>
    </xf>
    <xf numFmtId="0" fontId="7" fillId="24" borderId="161" xfId="0" applyFont="1" applyFill="1" applyBorder="1" applyAlignment="1">
      <alignment horizontal="center"/>
    </xf>
    <xf numFmtId="0" fontId="16" fillId="0" borderId="140"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16" fillId="0" borderId="121" xfId="0" applyFont="1" applyBorder="1" applyAlignment="1">
      <alignment horizontal="center"/>
    </xf>
    <xf numFmtId="0" fontId="12" fillId="0" borderId="92" xfId="0" applyFont="1" applyFill="1" applyBorder="1" applyAlignment="1">
      <alignment horizontal="center" wrapText="1"/>
    </xf>
    <xf numFmtId="0" fontId="0" fillId="0" borderId="18" xfId="0" applyBorder="1"/>
    <xf numFmtId="0" fontId="12" fillId="0" borderId="29" xfId="0" applyFont="1" applyFill="1" applyBorder="1" applyAlignment="1">
      <alignment horizontal="center" wrapText="1"/>
    </xf>
    <xf numFmtId="0" fontId="0" fillId="0" borderId="44" xfId="0" applyBorder="1"/>
    <xf numFmtId="0" fontId="55" fillId="0" borderId="29" xfId="0" applyFont="1" applyFill="1" applyBorder="1" applyAlignment="1">
      <alignment horizontal="center" wrapText="1"/>
    </xf>
    <xf numFmtId="0" fontId="14" fillId="0" borderId="44" xfId="0" applyFont="1" applyBorder="1"/>
    <xf numFmtId="0" fontId="0" fillId="0" borderId="162" xfId="0" applyBorder="1"/>
    <xf numFmtId="0" fontId="1" fillId="24" borderId="163" xfId="0" applyFont="1" applyFill="1" applyBorder="1" applyAlignment="1">
      <alignment horizontal="center"/>
    </xf>
    <xf numFmtId="0" fontId="11" fillId="24" borderId="147" xfId="0" applyFont="1" applyFill="1" applyBorder="1" applyAlignment="1">
      <alignment horizontal="center"/>
    </xf>
    <xf numFmtId="0" fontId="11" fillId="24" borderId="148" xfId="0" applyFont="1" applyFill="1" applyBorder="1" applyAlignment="1">
      <alignment horizontal="center"/>
    </xf>
    <xf numFmtId="0" fontId="1" fillId="24" borderId="140" xfId="0" applyFont="1" applyFill="1" applyBorder="1" applyAlignment="1">
      <alignment horizontal="center"/>
    </xf>
    <xf numFmtId="0" fontId="11" fillId="24" borderId="52" xfId="0" applyFont="1" applyFill="1" applyBorder="1" applyAlignment="1">
      <alignment horizontal="center"/>
    </xf>
    <xf numFmtId="0" fontId="11" fillId="24" borderId="121" xfId="0" applyFont="1" applyFill="1" applyBorder="1" applyAlignment="1">
      <alignment horizontal="center"/>
    </xf>
    <xf numFmtId="0" fontId="0" fillId="0" borderId="161" xfId="0" applyBorder="1"/>
    <xf numFmtId="0" fontId="12" fillId="0" borderId="44" xfId="0" applyFont="1" applyFill="1" applyBorder="1" applyAlignment="1">
      <alignment horizontal="center" wrapText="1"/>
    </xf>
    <xf numFmtId="0" fontId="7" fillId="24" borderId="64" xfId="0" applyFont="1" applyFill="1" applyBorder="1" applyAlignment="1">
      <alignment horizontal="center" vertical="center" wrapText="1"/>
    </xf>
    <xf numFmtId="0" fontId="7" fillId="24" borderId="68" xfId="0" applyFont="1" applyFill="1" applyBorder="1" applyAlignment="1">
      <alignment horizontal="center" vertical="center" wrapText="1"/>
    </xf>
    <xf numFmtId="0" fontId="12" fillId="0" borderId="18" xfId="0" applyFont="1" applyFill="1" applyBorder="1" applyAlignment="1">
      <alignment horizontal="center" wrapText="1"/>
    </xf>
    <xf numFmtId="0" fontId="50" fillId="24" borderId="31" xfId="40" applyFont="1" applyFill="1" applyBorder="1" applyAlignment="1">
      <alignment horizontal="center"/>
    </xf>
    <xf numFmtId="0" fontId="50" fillId="24" borderId="32" xfId="40" applyFont="1" applyFill="1" applyBorder="1" applyAlignment="1">
      <alignment horizontal="center"/>
    </xf>
    <xf numFmtId="0" fontId="50" fillId="24" borderId="38" xfId="40" applyFont="1" applyFill="1" applyBorder="1" applyAlignment="1">
      <alignment horizontal="center"/>
    </xf>
    <xf numFmtId="0" fontId="50" fillId="24" borderId="33" xfId="40" applyFont="1" applyFill="1" applyBorder="1" applyAlignment="1">
      <alignment horizontal="center"/>
    </xf>
    <xf numFmtId="0" fontId="50" fillId="24" borderId="0" xfId="40" applyFont="1" applyFill="1" applyBorder="1" applyAlignment="1">
      <alignment horizontal="center"/>
    </xf>
    <xf numFmtId="0" fontId="50" fillId="24" borderId="39" xfId="40" applyFont="1" applyFill="1" applyBorder="1" applyAlignment="1">
      <alignment horizontal="center"/>
    </xf>
    <xf numFmtId="0" fontId="51" fillId="24" borderId="41" xfId="0" applyFont="1" applyFill="1" applyBorder="1" applyAlignment="1">
      <alignment horizontal="center"/>
    </xf>
    <xf numFmtId="0" fontId="51" fillId="24" borderId="51" xfId="0" applyFont="1" applyFill="1" applyBorder="1" applyAlignment="1">
      <alignment horizontal="center"/>
    </xf>
    <xf numFmtId="0" fontId="51" fillId="24" borderId="40" xfId="0" applyFont="1" applyFill="1" applyBorder="1" applyAlignment="1">
      <alignment horizontal="center"/>
    </xf>
    <xf numFmtId="0" fontId="7" fillId="24" borderId="71" xfId="0" applyFont="1" applyFill="1" applyBorder="1" applyAlignment="1">
      <alignment horizontal="center" vertical="center" wrapText="1"/>
    </xf>
    <xf numFmtId="0" fontId="46" fillId="24" borderId="164" xfId="40" applyFont="1" applyFill="1" applyBorder="1" applyAlignment="1">
      <alignment horizontal="center"/>
    </xf>
    <xf numFmtId="0" fontId="46" fillId="24" borderId="158" xfId="40" applyFont="1" applyFill="1" applyBorder="1" applyAlignment="1">
      <alignment horizontal="center"/>
    </xf>
    <xf numFmtId="0" fontId="46" fillId="24" borderId="165" xfId="40" applyFont="1" applyFill="1" applyBorder="1" applyAlignment="1">
      <alignment horizontal="center"/>
    </xf>
    <xf numFmtId="0" fontId="46" fillId="24" borderId="159" xfId="40" applyFont="1" applyFill="1" applyBorder="1" applyAlignment="1">
      <alignment horizontal="center"/>
    </xf>
    <xf numFmtId="0" fontId="43" fillId="24" borderId="42" xfId="40" applyFont="1" applyFill="1" applyBorder="1" applyAlignment="1">
      <alignment horizontal="center"/>
    </xf>
    <xf numFmtId="0" fontId="43" fillId="24" borderId="98" xfId="40" applyFont="1" applyFill="1" applyBorder="1" applyAlignment="1">
      <alignment horizontal="center"/>
    </xf>
    <xf numFmtId="0" fontId="43" fillId="24" borderId="43" xfId="40" applyFont="1" applyFill="1" applyBorder="1" applyAlignment="1">
      <alignment horizontal="center"/>
    </xf>
    <xf numFmtId="0" fontId="10" fillId="0" borderId="42" xfId="40" applyFont="1" applyFill="1" applyBorder="1" applyAlignment="1">
      <alignment horizontal="center"/>
    </xf>
    <xf numFmtId="0" fontId="10" fillId="0" borderId="98" xfId="40" applyFont="1" applyFill="1" applyBorder="1" applyAlignment="1">
      <alignment horizontal="center"/>
    </xf>
    <xf numFmtId="0" fontId="10" fillId="0" borderId="43" xfId="40" applyFont="1" applyFill="1" applyBorder="1" applyAlignment="1">
      <alignment horizontal="center"/>
    </xf>
    <xf numFmtId="0" fontId="10" fillId="0" borderId="99" xfId="40" applyFont="1" applyFill="1" applyBorder="1" applyAlignment="1">
      <alignment horizontal="center"/>
    </xf>
    <xf numFmtId="0" fontId="24" fillId="24" borderId="126" xfId="40" applyFont="1" applyFill="1" applyBorder="1" applyAlignment="1">
      <alignment horizontal="center"/>
    </xf>
    <xf numFmtId="0" fontId="24" fillId="24" borderId="80" xfId="40" applyFont="1" applyFill="1" applyBorder="1" applyAlignment="1">
      <alignment horizontal="center"/>
    </xf>
    <xf numFmtId="0" fontId="50" fillId="24" borderId="166" xfId="0" applyFont="1" applyFill="1" applyBorder="1" applyAlignment="1">
      <alignment horizontal="center"/>
    </xf>
    <xf numFmtId="0" fontId="50" fillId="24" borderId="72" xfId="0" applyFont="1" applyFill="1" applyBorder="1" applyAlignment="1">
      <alignment horizontal="center"/>
    </xf>
    <xf numFmtId="0" fontId="50" fillId="24" borderId="167" xfId="0" applyFont="1" applyFill="1" applyBorder="1" applyAlignment="1">
      <alignment horizontal="center"/>
    </xf>
    <xf numFmtId="0" fontId="50" fillId="24" borderId="62" xfId="0" applyFont="1" applyFill="1" applyBorder="1" applyAlignment="1">
      <alignment horizontal="center"/>
    </xf>
    <xf numFmtId="0" fontId="50" fillId="24" borderId="0" xfId="0" applyFont="1" applyFill="1" applyBorder="1" applyAlignment="1">
      <alignment horizontal="center"/>
    </xf>
    <xf numFmtId="0" fontId="50" fillId="24" borderId="63" xfId="0" applyFont="1" applyFill="1" applyBorder="1" applyAlignment="1">
      <alignment horizontal="center"/>
    </xf>
    <xf numFmtId="0" fontId="24" fillId="24" borderId="157" xfId="40" applyFont="1" applyFill="1" applyBorder="1" applyAlignment="1">
      <alignment horizontal="center"/>
    </xf>
    <xf numFmtId="0" fontId="24" fillId="24" borderId="158" xfId="40" applyFont="1" applyFill="1" applyBorder="1" applyAlignment="1">
      <alignment horizontal="center"/>
    </xf>
    <xf numFmtId="0" fontId="24" fillId="24" borderId="159" xfId="40" applyFont="1" applyFill="1" applyBorder="1" applyAlignment="1">
      <alignment horizontal="center"/>
    </xf>
    <xf numFmtId="0" fontId="5" fillId="24" borderId="121" xfId="40" applyFont="1" applyFill="1" applyBorder="1" applyAlignment="1">
      <alignment horizontal="center"/>
    </xf>
    <xf numFmtId="0" fontId="5" fillId="24" borderId="163" xfId="40" applyFont="1" applyFill="1" applyBorder="1" applyAlignment="1">
      <alignment horizontal="center"/>
    </xf>
    <xf numFmtId="0" fontId="5" fillId="24" borderId="147" xfId="40" applyFont="1" applyFill="1" applyBorder="1" applyAlignment="1">
      <alignment horizontal="center"/>
    </xf>
    <xf numFmtId="0" fontId="5" fillId="24" borderId="168" xfId="40" applyFont="1" applyFill="1" applyBorder="1" applyAlignment="1">
      <alignment horizontal="center"/>
    </xf>
    <xf numFmtId="0" fontId="5" fillId="0" borderId="52" xfId="40" applyFont="1" applyBorder="1" applyAlignment="1">
      <alignment horizontal="center"/>
    </xf>
    <xf numFmtId="0" fontId="5" fillId="0" borderId="65" xfId="40" applyFont="1" applyFill="1" applyBorder="1" applyAlignment="1">
      <alignment horizontal="center" vertical="center"/>
    </xf>
    <xf numFmtId="0" fontId="5" fillId="0" borderId="74" xfId="40" applyFont="1" applyFill="1" applyBorder="1" applyAlignment="1">
      <alignment horizontal="center" vertical="center"/>
    </xf>
    <xf numFmtId="0" fontId="24" fillId="24" borderId="33" xfId="40" applyFont="1" applyFill="1" applyBorder="1" applyAlignment="1">
      <alignment horizontal="center"/>
    </xf>
    <xf numFmtId="0" fontId="24" fillId="24" borderId="0" xfId="40" applyFont="1" applyFill="1" applyBorder="1" applyAlignment="1">
      <alignment horizontal="center"/>
    </xf>
    <xf numFmtId="0" fontId="24" fillId="24" borderId="39" xfId="40" applyFont="1" applyFill="1" applyBorder="1" applyAlignment="1">
      <alignment horizontal="center"/>
    </xf>
    <xf numFmtId="0" fontId="24" fillId="24" borderId="42" xfId="40" applyFont="1" applyFill="1" applyBorder="1" applyAlignment="1">
      <alignment horizontal="center"/>
    </xf>
    <xf numFmtId="0" fontId="24" fillId="24" borderId="98" xfId="40" applyFont="1" applyFill="1" applyBorder="1" applyAlignment="1">
      <alignment horizontal="center"/>
    </xf>
    <xf numFmtId="0" fontId="24" fillId="24" borderId="43" xfId="40" applyFont="1" applyFill="1" applyBorder="1" applyAlignment="1">
      <alignment horizontal="center"/>
    </xf>
    <xf numFmtId="0" fontId="5" fillId="0" borderId="31" xfId="40" applyFont="1" applyFill="1" applyBorder="1" applyAlignment="1">
      <alignment horizontal="center"/>
    </xf>
    <xf numFmtId="0" fontId="5" fillId="0" borderId="32" xfId="40" applyFont="1" applyFill="1" applyBorder="1" applyAlignment="1">
      <alignment horizontal="center"/>
    </xf>
    <xf numFmtId="0" fontId="5" fillId="0" borderId="38" xfId="40" applyFont="1" applyFill="1" applyBorder="1" applyAlignment="1">
      <alignment horizontal="center"/>
    </xf>
    <xf numFmtId="38" fontId="5" fillId="0" borderId="41" xfId="40" applyNumberFormat="1" applyFont="1" applyFill="1" applyBorder="1" applyAlignment="1">
      <alignment horizontal="center"/>
    </xf>
    <xf numFmtId="38" fontId="5" fillId="0" borderId="51" xfId="40" applyNumberFormat="1" applyFont="1" applyFill="1" applyBorder="1" applyAlignment="1">
      <alignment horizontal="center"/>
    </xf>
    <xf numFmtId="38" fontId="5" fillId="0" borderId="40" xfId="40" applyNumberFormat="1" applyFont="1" applyFill="1" applyBorder="1" applyAlignment="1">
      <alignment horizontal="center"/>
    </xf>
    <xf numFmtId="0" fontId="5" fillId="24" borderId="169" xfId="40" applyFont="1" applyFill="1" applyBorder="1" applyAlignment="1">
      <alignment horizontal="center"/>
    </xf>
    <xf numFmtId="0" fontId="5" fillId="24" borderId="43" xfId="40" applyFont="1" applyFill="1" applyBorder="1" applyAlignment="1">
      <alignment horizontal="center"/>
    </xf>
    <xf numFmtId="0" fontId="10" fillId="24" borderId="169" xfId="40" applyFont="1" applyFill="1" applyBorder="1" applyAlignment="1">
      <alignment horizontal="center"/>
    </xf>
    <xf numFmtId="0" fontId="10" fillId="24" borderId="43" xfId="40" applyFont="1" applyFill="1" applyBorder="1" applyAlignment="1">
      <alignment horizontal="center"/>
    </xf>
    <xf numFmtId="0" fontId="46" fillId="24" borderId="170" xfId="40" applyFont="1" applyFill="1" applyBorder="1" applyAlignment="1">
      <alignment horizontal="center"/>
    </xf>
    <xf numFmtId="0" fontId="46" fillId="24" borderId="171" xfId="40" applyFont="1" applyFill="1" applyBorder="1" applyAlignment="1">
      <alignment horizontal="center"/>
    </xf>
    <xf numFmtId="0" fontId="46" fillId="24" borderId="172" xfId="40" applyFont="1" applyFill="1" applyBorder="1" applyAlignment="1">
      <alignment horizontal="center"/>
    </xf>
    <xf numFmtId="38" fontId="5" fillId="0" borderId="33" xfId="40" applyNumberFormat="1" applyFont="1" applyFill="1" applyBorder="1" applyAlignment="1">
      <alignment horizontal="center"/>
    </xf>
    <xf numFmtId="38" fontId="5" fillId="0" borderId="0" xfId="40" applyNumberFormat="1" applyFont="1" applyFill="1" applyBorder="1" applyAlignment="1">
      <alignment horizontal="center"/>
    </xf>
    <xf numFmtId="38" fontId="5" fillId="0" borderId="39" xfId="40" applyNumberFormat="1" applyFont="1" applyFill="1" applyBorder="1" applyAlignment="1">
      <alignment horizontal="center"/>
    </xf>
    <xf numFmtId="0" fontId="50" fillId="24" borderId="92" xfId="40" applyFont="1" applyFill="1" applyBorder="1" applyAlignment="1">
      <alignment horizontal="center"/>
    </xf>
    <xf numFmtId="0" fontId="50" fillId="24" borderId="19" xfId="40" applyFont="1" applyFill="1" applyBorder="1" applyAlignment="1">
      <alignment horizontal="center"/>
    </xf>
    <xf numFmtId="0" fontId="50" fillId="24" borderId="18" xfId="40" applyFont="1" applyFill="1" applyBorder="1" applyAlignment="1">
      <alignment horizontal="center"/>
    </xf>
    <xf numFmtId="0" fontId="5" fillId="0" borderId="0" xfId="40" applyFont="1" applyBorder="1" applyAlignment="1">
      <alignment horizontal="center"/>
    </xf>
    <xf numFmtId="0" fontId="46" fillId="24" borderId="157" xfId="40" applyFont="1" applyFill="1" applyBorder="1" applyAlignment="1">
      <alignment horizontal="center"/>
    </xf>
    <xf numFmtId="0" fontId="5" fillId="24" borderId="97" xfId="40" applyFont="1" applyFill="1" applyBorder="1" applyAlignment="1">
      <alignment horizontal="center"/>
    </xf>
    <xf numFmtId="0" fontId="23" fillId="24" borderId="97" xfId="40" applyFont="1" applyFill="1" applyBorder="1" applyAlignment="1">
      <alignment horizontal="center"/>
    </xf>
    <xf numFmtId="0" fontId="23" fillId="24" borderId="43" xfId="40" applyFont="1" applyFill="1" applyBorder="1" applyAlignment="1">
      <alignment horizontal="center"/>
    </xf>
    <xf numFmtId="0" fontId="50" fillId="24" borderId="29" xfId="40" applyFont="1" applyFill="1" applyBorder="1" applyAlignment="1">
      <alignment horizontal="center"/>
    </xf>
    <xf numFmtId="0" fontId="50" fillId="24" borderId="155" xfId="40" applyFont="1" applyFill="1" applyBorder="1" applyAlignment="1">
      <alignment horizontal="center"/>
    </xf>
    <xf numFmtId="0" fontId="50" fillId="24" borderId="44" xfId="40" applyFont="1" applyFill="1" applyBorder="1" applyAlignment="1">
      <alignment horizontal="center"/>
    </xf>
    <xf numFmtId="0" fontId="50" fillId="24" borderId="13" xfId="40" applyFont="1" applyFill="1" applyBorder="1" applyAlignment="1">
      <alignment horizontal="center"/>
    </xf>
    <xf numFmtId="0" fontId="50" fillId="24" borderId="139" xfId="40" applyFont="1" applyFill="1" applyBorder="1" applyAlignment="1">
      <alignment horizontal="center"/>
    </xf>
    <xf numFmtId="0" fontId="46" fillId="0" borderId="81" xfId="40" applyFont="1" applyFill="1" applyBorder="1" applyAlignment="1" applyProtection="1">
      <alignment horizontal="center" vertical="center" wrapText="1"/>
      <protection locked="0"/>
    </xf>
    <xf numFmtId="0" fontId="43" fillId="24" borderId="42" xfId="40" applyFont="1" applyFill="1" applyBorder="1" applyAlignment="1" applyProtection="1">
      <alignment horizontal="center"/>
      <protection locked="0"/>
    </xf>
    <xf numFmtId="0" fontId="43" fillId="24" borderId="98" xfId="40" applyFont="1" applyFill="1" applyBorder="1" applyAlignment="1" applyProtection="1">
      <alignment horizontal="center"/>
      <protection locked="0"/>
    </xf>
    <xf numFmtId="0" fontId="43" fillId="24" borderId="43" xfId="40" applyFont="1" applyFill="1" applyBorder="1" applyAlignment="1" applyProtection="1">
      <alignment horizontal="center"/>
      <protection locked="0"/>
    </xf>
    <xf numFmtId="0" fontId="46" fillId="0" borderId="78" xfId="40" applyFont="1" applyFill="1" applyBorder="1" applyAlignment="1" applyProtection="1">
      <alignment horizontal="center" vertical="center"/>
      <protection locked="0"/>
    </xf>
    <xf numFmtId="0" fontId="46" fillId="0" borderId="81" xfId="40" applyFont="1" applyFill="1" applyBorder="1" applyAlignment="1" applyProtection="1">
      <alignment horizontal="center" vertical="center"/>
      <protection locked="0"/>
    </xf>
    <xf numFmtId="42" fontId="46" fillId="24" borderId="164" xfId="40" applyNumberFormat="1" applyFont="1" applyFill="1" applyBorder="1" applyAlignment="1" applyProtection="1">
      <alignment horizontal="center"/>
      <protection locked="0"/>
    </xf>
    <xf numFmtId="42" fontId="46" fillId="24" borderId="158" xfId="40" applyNumberFormat="1" applyFont="1" applyFill="1" applyBorder="1" applyAlignment="1" applyProtection="1">
      <alignment horizontal="center"/>
      <protection locked="0"/>
    </xf>
    <xf numFmtId="42" fontId="46" fillId="24" borderId="159" xfId="40" applyNumberFormat="1" applyFont="1" applyFill="1" applyBorder="1" applyAlignment="1" applyProtection="1">
      <alignment horizontal="center"/>
      <protection locked="0"/>
    </xf>
    <xf numFmtId="165" fontId="18" fillId="0" borderId="143" xfId="40" applyNumberFormat="1" applyFont="1" applyFill="1" applyBorder="1" applyAlignment="1">
      <alignment horizontal="left" vertical="top" wrapText="1"/>
    </xf>
    <xf numFmtId="0" fontId="0" fillId="0" borderId="154" xfId="0" applyBorder="1" applyAlignment="1">
      <alignment horizontal="left" vertical="top" wrapText="1"/>
    </xf>
    <xf numFmtId="0" fontId="0" fillId="0" borderId="49" xfId="0" applyBorder="1" applyAlignment="1">
      <alignment horizontal="left" vertical="top" wrapText="1"/>
    </xf>
    <xf numFmtId="0" fontId="22" fillId="0" borderId="140" xfId="0" applyFont="1" applyFill="1" applyBorder="1" applyAlignment="1">
      <alignment horizontal="center" wrapText="1"/>
    </xf>
    <xf numFmtId="0" fontId="0" fillId="0" borderId="52" xfId="0" applyBorder="1" applyAlignment="1">
      <alignment wrapText="1"/>
    </xf>
    <xf numFmtId="0" fontId="0" fillId="0" borderId="53" xfId="0" applyBorder="1" applyAlignment="1">
      <alignment wrapText="1"/>
    </xf>
    <xf numFmtId="165" fontId="18" fillId="0" borderId="141" xfId="40" applyNumberFormat="1" applyFont="1" applyFill="1" applyBorder="1" applyAlignment="1">
      <alignment horizontal="left" vertical="top" wrapText="1"/>
    </xf>
    <xf numFmtId="0" fontId="0" fillId="0" borderId="145" xfId="0" applyBorder="1" applyAlignment="1">
      <alignment horizontal="left" vertical="top" wrapText="1"/>
    </xf>
    <xf numFmtId="0" fontId="0" fillId="0" borderId="46" xfId="0" applyBorder="1" applyAlignment="1">
      <alignment horizontal="left" vertical="top" wrapText="1"/>
    </xf>
    <xf numFmtId="165" fontId="18" fillId="0" borderId="142" xfId="40" applyNumberFormat="1" applyFont="1" applyFill="1" applyBorder="1" applyAlignment="1">
      <alignment horizontal="left" vertical="top" wrapText="1"/>
    </xf>
    <xf numFmtId="0" fontId="0" fillId="0" borderId="98" xfId="0" applyBorder="1" applyAlignment="1">
      <alignment horizontal="left" vertical="top" wrapText="1"/>
    </xf>
    <xf numFmtId="0" fontId="0" fillId="0" borderId="48" xfId="0" applyBorder="1" applyAlignment="1">
      <alignment horizontal="left" vertical="top" wrapText="1"/>
    </xf>
    <xf numFmtId="0" fontId="1" fillId="0" borderId="29" xfId="0" applyFont="1" applyBorder="1" applyAlignment="1">
      <alignment horizontal="left" vertical="top"/>
    </xf>
    <xf numFmtId="0" fontId="4" fillId="0" borderId="155" xfId="0" applyFont="1" applyBorder="1" applyAlignment="1">
      <alignment horizontal="left" vertical="top"/>
    </xf>
    <xf numFmtId="0" fontId="4" fillId="0" borderId="44"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39" xfId="0" applyFont="1" applyBorder="1" applyAlignment="1">
      <alignment horizontal="left" vertical="top"/>
    </xf>
    <xf numFmtId="0" fontId="4" fillId="0" borderId="92" xfId="0" applyFont="1" applyBorder="1" applyAlignment="1">
      <alignment horizontal="left" vertical="top"/>
    </xf>
    <xf numFmtId="0" fontId="4" fillId="0" borderId="19" xfId="0" applyFont="1" applyBorder="1" applyAlignment="1">
      <alignment horizontal="left" vertical="top"/>
    </xf>
    <xf numFmtId="0" fontId="4" fillId="0" borderId="18" xfId="0" applyFont="1" applyBorder="1" applyAlignment="1">
      <alignment horizontal="left" vertical="top"/>
    </xf>
    <xf numFmtId="0" fontId="50" fillId="24" borderId="31" xfId="0" applyFont="1" applyFill="1" applyBorder="1" applyAlignment="1">
      <alignment horizontal="center"/>
    </xf>
    <xf numFmtId="0" fontId="50" fillId="24" borderId="32" xfId="0" applyFont="1" applyFill="1" applyBorder="1" applyAlignment="1">
      <alignment horizontal="center"/>
    </xf>
    <xf numFmtId="0" fontId="50" fillId="24" borderId="38" xfId="0" applyFont="1" applyFill="1" applyBorder="1" applyAlignment="1">
      <alignment horizontal="center"/>
    </xf>
    <xf numFmtId="0" fontId="50" fillId="24" borderId="33" xfId="0" applyFont="1" applyFill="1" applyBorder="1" applyAlignment="1">
      <alignment horizontal="center"/>
    </xf>
    <xf numFmtId="0" fontId="50" fillId="24" borderId="39" xfId="0" applyFont="1" applyFill="1" applyBorder="1" applyAlignment="1">
      <alignment horizontal="center"/>
    </xf>
    <xf numFmtId="0" fontId="5" fillId="24" borderId="120" xfId="40" applyFont="1" applyFill="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Arkansas QS - APSC Final DSM Report - Mar 2010 - Worksheets and Tables" xfId="40"/>
    <cellStyle name="Note" xfId="41" builtinId="10" customBuiltin="1"/>
    <cellStyle name="Output" xfId="42" builtinId="21" customBuiltin="1"/>
    <cellStyle name="Percent" xfId="46" builtinId="5"/>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581025</xdr:colOff>
      <xdr:row>23</xdr:row>
      <xdr:rowOff>9525</xdr:rowOff>
    </xdr:from>
    <xdr:to>
      <xdr:col>5</xdr:col>
      <xdr:colOff>66675</xdr:colOff>
      <xdr:row>28</xdr:row>
      <xdr:rowOff>47625</xdr:rowOff>
    </xdr:to>
    <xdr:sp macro="" textlink="">
      <xdr:nvSpPr>
        <xdr:cNvPr id="22404" name="AutoShape 43" descr="9e80bb89-09bc-4aac-98c8-83afa7ac967f"/>
        <xdr:cNvSpPr>
          <a:spLocks noChangeArrowheads="1"/>
        </xdr:cNvSpPr>
      </xdr:nvSpPr>
      <xdr:spPr bwMode="auto">
        <a:xfrm>
          <a:off x="1800225" y="3800475"/>
          <a:ext cx="1314450" cy="847725"/>
        </a:xfrm>
        <a:prstGeom prst="flowChartDocument">
          <a:avLst/>
        </a:prstGeom>
        <a:solidFill>
          <a:srgbClr val="008080"/>
        </a:solidFill>
        <a:ln w="9525">
          <a:solidFill>
            <a:srgbClr val="000000"/>
          </a:solidFill>
          <a:miter lim="800000"/>
          <a:headEnd/>
          <a:tailEnd/>
        </a:ln>
      </xdr:spPr>
    </xdr:sp>
    <xdr:clientData/>
  </xdr:twoCellAnchor>
  <xdr:twoCellAnchor>
    <xdr:from>
      <xdr:col>8</xdr:col>
      <xdr:colOff>542925</xdr:colOff>
      <xdr:row>22</xdr:row>
      <xdr:rowOff>152400</xdr:rowOff>
    </xdr:from>
    <xdr:to>
      <xdr:col>11</xdr:col>
      <xdr:colOff>28575</xdr:colOff>
      <xdr:row>28</xdr:row>
      <xdr:rowOff>28575</xdr:rowOff>
    </xdr:to>
    <xdr:sp macro="" textlink="">
      <xdr:nvSpPr>
        <xdr:cNvPr id="22405" name="AutoShape 18" descr="dd691344-5953-4a5c-9594-877268bb71ed"/>
        <xdr:cNvSpPr>
          <a:spLocks noChangeArrowheads="1"/>
        </xdr:cNvSpPr>
      </xdr:nvSpPr>
      <xdr:spPr bwMode="auto">
        <a:xfrm>
          <a:off x="5419725" y="3781425"/>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9</xdr:col>
      <xdr:colOff>57150</xdr:colOff>
      <xdr:row>23</xdr:row>
      <xdr:rowOff>57150</xdr:rowOff>
    </xdr:from>
    <xdr:to>
      <xdr:col>10</xdr:col>
      <xdr:colOff>419100</xdr:colOff>
      <xdr:row>27</xdr:row>
      <xdr:rowOff>19050</xdr:rowOff>
    </xdr:to>
    <xdr:sp macro="" textlink="">
      <xdr:nvSpPr>
        <xdr:cNvPr id="2067" name="Text Box 19"/>
        <xdr:cNvSpPr txBox="1">
          <a:spLocks noChangeArrowheads="1"/>
        </xdr:cNvSpPr>
      </xdr:nvSpPr>
      <xdr:spPr bwMode="auto">
        <a:xfrm>
          <a:off x="5543550" y="3848100"/>
          <a:ext cx="971550" cy="6096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D2 - </a:t>
          </a:r>
        </a:p>
        <a:p>
          <a:pPr algn="ctr" rtl="0">
            <a:defRPr sz="1000"/>
          </a:pPr>
          <a:r>
            <a:rPr lang="en-US" sz="900" b="0" i="0" u="none" strike="noStrike" baseline="0">
              <a:solidFill>
                <a:srgbClr val="000000"/>
              </a:solidFill>
              <a:latin typeface="Arial"/>
              <a:cs typeface="Arial"/>
            </a:rPr>
            <a:t>Challenges &amp; Opportunities </a:t>
          </a:r>
          <a:r>
            <a:rPr lang="en-US" sz="800" b="0" i="0" u="none" strike="noStrike" baseline="0">
              <a:solidFill>
                <a:srgbClr val="000000"/>
              </a:solidFill>
              <a:latin typeface="Arial"/>
              <a:cs typeface="Arial"/>
            </a:rPr>
            <a:t>(Sect. 5.4 Report)</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295275</xdr:colOff>
      <xdr:row>2</xdr:row>
      <xdr:rowOff>9525</xdr:rowOff>
    </xdr:from>
    <xdr:to>
      <xdr:col>6</xdr:col>
      <xdr:colOff>390525</xdr:colOff>
      <xdr:row>7</xdr:row>
      <xdr:rowOff>47625</xdr:rowOff>
    </xdr:to>
    <xdr:sp macro="" textlink="">
      <xdr:nvSpPr>
        <xdr:cNvPr id="22407" name="AutoShape 34" descr="f1df1bde-c51c-401a-b86d-a5457a9c8607"/>
        <xdr:cNvSpPr>
          <a:spLocks noChangeArrowheads="1"/>
        </xdr:cNvSpPr>
      </xdr:nvSpPr>
      <xdr:spPr bwMode="auto">
        <a:xfrm>
          <a:off x="2733675" y="400050"/>
          <a:ext cx="1314450" cy="847725"/>
        </a:xfrm>
        <a:prstGeom prst="flowChartDocument">
          <a:avLst/>
        </a:prstGeom>
        <a:solidFill>
          <a:srgbClr val="99CCFF"/>
        </a:solidFill>
        <a:ln w="9525">
          <a:solidFill>
            <a:srgbClr val="000000"/>
          </a:solidFill>
          <a:miter lim="800000"/>
          <a:headEnd/>
          <a:tailEnd/>
        </a:ln>
      </xdr:spPr>
    </xdr:sp>
    <xdr:clientData/>
  </xdr:twoCellAnchor>
  <xdr:twoCellAnchor>
    <xdr:from>
      <xdr:col>4</xdr:col>
      <xdr:colOff>495300</xdr:colOff>
      <xdr:row>2</xdr:row>
      <xdr:rowOff>114300</xdr:rowOff>
    </xdr:from>
    <xdr:to>
      <xdr:col>6</xdr:col>
      <xdr:colOff>152400</xdr:colOff>
      <xdr:row>5</xdr:row>
      <xdr:rowOff>57150</xdr:rowOff>
    </xdr:to>
    <xdr:sp macro="" textlink="">
      <xdr:nvSpPr>
        <xdr:cNvPr id="2050" name="Text Box 2"/>
        <xdr:cNvSpPr txBox="1">
          <a:spLocks noChangeArrowheads="1"/>
        </xdr:cNvSpPr>
      </xdr:nvSpPr>
      <xdr:spPr bwMode="auto">
        <a:xfrm>
          <a:off x="2933700" y="504825"/>
          <a:ext cx="876300" cy="4286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A1 - </a:t>
          </a:r>
        </a:p>
        <a:p>
          <a:pPr algn="ctr" rtl="0">
            <a:defRPr sz="1000"/>
          </a:pPr>
          <a:r>
            <a:rPr lang="en-US" sz="1000" b="0" i="0" u="none" strike="noStrike" baseline="0">
              <a:solidFill>
                <a:srgbClr val="000000"/>
              </a:solidFill>
              <a:latin typeface="Arial"/>
              <a:cs typeface="Arial"/>
            </a:rPr>
            <a:t>EE Portfolio</a:t>
          </a:r>
        </a:p>
      </xdr:txBody>
    </xdr:sp>
    <xdr:clientData/>
  </xdr:twoCellAnchor>
  <xdr:twoCellAnchor>
    <xdr:from>
      <xdr:col>4</xdr:col>
      <xdr:colOff>304800</xdr:colOff>
      <xdr:row>9</xdr:row>
      <xdr:rowOff>0</xdr:rowOff>
    </xdr:from>
    <xdr:to>
      <xdr:col>6</xdr:col>
      <xdr:colOff>400050</xdr:colOff>
      <xdr:row>14</xdr:row>
      <xdr:rowOff>38100</xdr:rowOff>
    </xdr:to>
    <xdr:sp macro="" textlink="">
      <xdr:nvSpPr>
        <xdr:cNvPr id="22409" name="AutoShape 35" descr="14df043d-d6ca-4710-8ac0-c0560b30c351"/>
        <xdr:cNvSpPr>
          <a:spLocks noChangeArrowheads="1"/>
        </xdr:cNvSpPr>
      </xdr:nvSpPr>
      <xdr:spPr bwMode="auto">
        <a:xfrm>
          <a:off x="2743200" y="1524000"/>
          <a:ext cx="1314450" cy="847725"/>
        </a:xfrm>
        <a:prstGeom prst="flowChartDocument">
          <a:avLst/>
        </a:prstGeom>
        <a:solidFill>
          <a:srgbClr val="99CCFF"/>
        </a:solidFill>
        <a:ln w="9525">
          <a:solidFill>
            <a:srgbClr val="000000"/>
          </a:solidFill>
          <a:miter lim="800000"/>
          <a:headEnd/>
          <a:tailEnd/>
        </a:ln>
      </xdr:spPr>
    </xdr:sp>
    <xdr:clientData/>
  </xdr:twoCellAnchor>
  <xdr:twoCellAnchor>
    <xdr:from>
      <xdr:col>4</xdr:col>
      <xdr:colOff>542925</xdr:colOff>
      <xdr:row>10</xdr:row>
      <xdr:rowOff>38100</xdr:rowOff>
    </xdr:from>
    <xdr:to>
      <xdr:col>6</xdr:col>
      <xdr:colOff>200025</xdr:colOff>
      <xdr:row>12</xdr:row>
      <xdr:rowOff>66675</xdr:rowOff>
    </xdr:to>
    <xdr:sp macro="" textlink="">
      <xdr:nvSpPr>
        <xdr:cNvPr id="2084" name="Text Box 36"/>
        <xdr:cNvSpPr txBox="1">
          <a:spLocks noChangeArrowheads="1"/>
        </xdr:cNvSpPr>
      </xdr:nvSpPr>
      <xdr:spPr bwMode="auto">
        <a:xfrm>
          <a:off x="2981325" y="1724025"/>
          <a:ext cx="876300" cy="3524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A2 - </a:t>
          </a:r>
        </a:p>
        <a:p>
          <a:pPr algn="ctr" rtl="0">
            <a:defRPr sz="1000"/>
          </a:pPr>
          <a:r>
            <a:rPr lang="en-US" sz="1000" b="0" i="0" u="none" strike="noStrike" baseline="0">
              <a:solidFill>
                <a:srgbClr val="000000"/>
              </a:solidFill>
              <a:latin typeface="Arial"/>
              <a:cs typeface="Arial"/>
            </a:rPr>
            <a:t>History Input</a:t>
          </a:r>
        </a:p>
      </xdr:txBody>
    </xdr:sp>
    <xdr:clientData/>
  </xdr:twoCellAnchor>
  <xdr:twoCellAnchor>
    <xdr:from>
      <xdr:col>0</xdr:col>
      <xdr:colOff>38100</xdr:colOff>
      <xdr:row>23</xdr:row>
      <xdr:rowOff>9525</xdr:rowOff>
    </xdr:from>
    <xdr:to>
      <xdr:col>2</xdr:col>
      <xdr:colOff>133350</xdr:colOff>
      <xdr:row>28</xdr:row>
      <xdr:rowOff>47625</xdr:rowOff>
    </xdr:to>
    <xdr:sp macro="" textlink="">
      <xdr:nvSpPr>
        <xdr:cNvPr id="22411" name="AutoShape 37" descr="deafaab0-c39d-4172-9d5a-8a66656f90c8"/>
        <xdr:cNvSpPr>
          <a:spLocks noChangeArrowheads="1"/>
        </xdr:cNvSpPr>
      </xdr:nvSpPr>
      <xdr:spPr bwMode="auto">
        <a:xfrm>
          <a:off x="38100" y="3800475"/>
          <a:ext cx="1314450" cy="847725"/>
        </a:xfrm>
        <a:prstGeom prst="flowChartDocument">
          <a:avLst/>
        </a:prstGeom>
        <a:solidFill>
          <a:srgbClr val="008080"/>
        </a:solidFill>
        <a:ln w="9525">
          <a:solidFill>
            <a:srgbClr val="000000"/>
          </a:solidFill>
          <a:miter lim="800000"/>
          <a:headEnd/>
          <a:tailEnd/>
        </a:ln>
      </xdr:spPr>
    </xdr:sp>
    <xdr:clientData/>
  </xdr:twoCellAnchor>
  <xdr:twoCellAnchor>
    <xdr:from>
      <xdr:col>0</xdr:col>
      <xdr:colOff>95250</xdr:colOff>
      <xdr:row>23</xdr:row>
      <xdr:rowOff>57150</xdr:rowOff>
    </xdr:from>
    <xdr:to>
      <xdr:col>2</xdr:col>
      <xdr:colOff>38100</xdr:colOff>
      <xdr:row>26</xdr:row>
      <xdr:rowOff>133350</xdr:rowOff>
    </xdr:to>
    <xdr:sp macro="" textlink="">
      <xdr:nvSpPr>
        <xdr:cNvPr id="2063" name="Text Box 15"/>
        <xdr:cNvSpPr txBox="1">
          <a:spLocks noChangeArrowheads="1"/>
        </xdr:cNvSpPr>
      </xdr:nvSpPr>
      <xdr:spPr bwMode="auto">
        <a:xfrm>
          <a:off x="95250" y="3848100"/>
          <a:ext cx="1162050" cy="561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B1 - </a:t>
          </a:r>
        </a:p>
        <a:p>
          <a:pPr algn="ctr" rtl="0">
            <a:defRPr sz="1000"/>
          </a:pPr>
          <a:r>
            <a:rPr lang="en-US" sz="900" b="0" i="0" u="none" strike="noStrike" baseline="0">
              <a:solidFill>
                <a:srgbClr val="000000"/>
              </a:solidFill>
              <a:latin typeface="Arial"/>
              <a:cs typeface="Arial"/>
            </a:rPr>
            <a:t>Company Statistics</a:t>
          </a: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(Sect. 1 Report)</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590550</xdr:colOff>
      <xdr:row>16</xdr:row>
      <xdr:rowOff>0</xdr:rowOff>
    </xdr:from>
    <xdr:to>
      <xdr:col>5</xdr:col>
      <xdr:colOff>76200</xdr:colOff>
      <xdr:row>21</xdr:row>
      <xdr:rowOff>38100</xdr:rowOff>
    </xdr:to>
    <xdr:sp macro="" textlink="">
      <xdr:nvSpPr>
        <xdr:cNvPr id="22413" name="AutoShape 38" descr="9cf4b06b-1dc6-4862-8014-a306be8b9927"/>
        <xdr:cNvSpPr>
          <a:spLocks noChangeArrowheads="1"/>
        </xdr:cNvSpPr>
      </xdr:nvSpPr>
      <xdr:spPr bwMode="auto">
        <a:xfrm>
          <a:off x="1809750" y="2657475"/>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3</xdr:col>
      <xdr:colOff>152400</xdr:colOff>
      <xdr:row>16</xdr:row>
      <xdr:rowOff>104775</xdr:rowOff>
    </xdr:from>
    <xdr:to>
      <xdr:col>4</xdr:col>
      <xdr:colOff>504825</xdr:colOff>
      <xdr:row>19</xdr:row>
      <xdr:rowOff>95250</xdr:rowOff>
    </xdr:to>
    <xdr:sp macro="" textlink="">
      <xdr:nvSpPr>
        <xdr:cNvPr id="2071" name="Text Box 23"/>
        <xdr:cNvSpPr txBox="1">
          <a:spLocks noChangeArrowheads="1"/>
        </xdr:cNvSpPr>
      </xdr:nvSpPr>
      <xdr:spPr bwMode="auto">
        <a:xfrm>
          <a:off x="1981200" y="2762250"/>
          <a:ext cx="962025" cy="4762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C3 - </a:t>
          </a:r>
        </a:p>
        <a:p>
          <a:pPr algn="ctr" rtl="0">
            <a:defRPr sz="1000"/>
          </a:pPr>
          <a:r>
            <a:rPr lang="en-US" sz="900" b="0" i="0" u="none" strike="noStrike" baseline="0">
              <a:solidFill>
                <a:srgbClr val="000000"/>
              </a:solidFill>
              <a:latin typeface="Arial"/>
              <a:cs typeface="Arial"/>
            </a:rPr>
            <a:t>Portfolio Impact</a:t>
          </a: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(Sect. 2 Report)</a:t>
          </a:r>
        </a:p>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 nar. rpt.)</a:t>
          </a:r>
        </a:p>
      </xdr:txBody>
    </xdr:sp>
    <xdr:clientData/>
  </xdr:twoCellAnchor>
  <xdr:twoCellAnchor>
    <xdr:from>
      <xdr:col>5</xdr:col>
      <xdr:colOff>533400</xdr:colOff>
      <xdr:row>16</xdr:row>
      <xdr:rowOff>0</xdr:rowOff>
    </xdr:from>
    <xdr:to>
      <xdr:col>8</xdr:col>
      <xdr:colOff>19050</xdr:colOff>
      <xdr:row>21</xdr:row>
      <xdr:rowOff>38100</xdr:rowOff>
    </xdr:to>
    <xdr:sp macro="" textlink="">
      <xdr:nvSpPr>
        <xdr:cNvPr id="22415" name="AutoShape 39" descr="1c521421-5788-465d-9f7f-dee7ec1e81cc"/>
        <xdr:cNvSpPr>
          <a:spLocks noChangeArrowheads="1"/>
        </xdr:cNvSpPr>
      </xdr:nvSpPr>
      <xdr:spPr bwMode="auto">
        <a:xfrm>
          <a:off x="3581400" y="2657475"/>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5</xdr:col>
      <xdr:colOff>552450</xdr:colOff>
      <xdr:row>16</xdr:row>
      <xdr:rowOff>38100</xdr:rowOff>
    </xdr:from>
    <xdr:to>
      <xdr:col>7</xdr:col>
      <xdr:colOff>581025</xdr:colOff>
      <xdr:row>20</xdr:row>
      <xdr:rowOff>28575</xdr:rowOff>
    </xdr:to>
    <xdr:sp macro="" textlink="">
      <xdr:nvSpPr>
        <xdr:cNvPr id="2072" name="Text Box 24"/>
        <xdr:cNvSpPr txBox="1">
          <a:spLocks noChangeArrowheads="1"/>
        </xdr:cNvSpPr>
      </xdr:nvSpPr>
      <xdr:spPr bwMode="auto">
        <a:xfrm>
          <a:off x="3600450" y="2695575"/>
          <a:ext cx="1247775" cy="638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C4 - </a:t>
          </a: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Program Budget, Energy Savings &amp; Participation (Sect. 3 Report)</a:t>
          </a:r>
        </a:p>
        <a:p>
          <a:pPr algn="ctr" rtl="0">
            <a:defRPr sz="1000"/>
          </a:pPr>
          <a:endParaRPr lang="en-US" sz="8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xdr:txBody>
    </xdr:sp>
    <xdr:clientData/>
  </xdr:twoCellAnchor>
  <xdr:twoCellAnchor>
    <xdr:from>
      <xdr:col>5</xdr:col>
      <xdr:colOff>533400</xdr:colOff>
      <xdr:row>23</xdr:row>
      <xdr:rowOff>0</xdr:rowOff>
    </xdr:from>
    <xdr:to>
      <xdr:col>8</xdr:col>
      <xdr:colOff>19050</xdr:colOff>
      <xdr:row>28</xdr:row>
      <xdr:rowOff>38100</xdr:rowOff>
    </xdr:to>
    <xdr:sp macro="" textlink="">
      <xdr:nvSpPr>
        <xdr:cNvPr id="22417" name="AutoShape 40" descr="7aae83f1-bdbc-48f0-90d9-9b459610ab89"/>
        <xdr:cNvSpPr>
          <a:spLocks noChangeArrowheads="1"/>
        </xdr:cNvSpPr>
      </xdr:nvSpPr>
      <xdr:spPr bwMode="auto">
        <a:xfrm>
          <a:off x="3581400" y="3790950"/>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6</xdr:col>
      <xdr:colOff>76200</xdr:colOff>
      <xdr:row>23</xdr:row>
      <xdr:rowOff>95250</xdr:rowOff>
    </xdr:from>
    <xdr:to>
      <xdr:col>7</xdr:col>
      <xdr:colOff>409575</xdr:colOff>
      <xdr:row>26</xdr:row>
      <xdr:rowOff>123825</xdr:rowOff>
    </xdr:to>
    <xdr:sp macro="" textlink="">
      <xdr:nvSpPr>
        <xdr:cNvPr id="2065" name="Text Box 17"/>
        <xdr:cNvSpPr txBox="1">
          <a:spLocks noChangeArrowheads="1"/>
        </xdr:cNvSpPr>
      </xdr:nvSpPr>
      <xdr:spPr bwMode="auto">
        <a:xfrm>
          <a:off x="3733800" y="3886200"/>
          <a:ext cx="942975" cy="5143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D1 - </a:t>
          </a:r>
        </a:p>
        <a:p>
          <a:pPr algn="ctr" rtl="0">
            <a:defRPr sz="1000"/>
          </a:pPr>
          <a:r>
            <a:rPr lang="en-US" sz="900" b="0" i="0" u="none" strike="noStrike" baseline="0">
              <a:solidFill>
                <a:srgbClr val="000000"/>
              </a:solidFill>
              <a:latin typeface="Arial"/>
              <a:cs typeface="Arial"/>
            </a:rPr>
            <a:t>Training      </a:t>
          </a: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(Sect. 5.1 Report)</a:t>
          </a:r>
        </a:p>
      </xdr:txBody>
    </xdr:sp>
    <xdr:clientData/>
  </xdr:twoCellAnchor>
  <xdr:twoCellAnchor>
    <xdr:from>
      <xdr:col>5</xdr:col>
      <xdr:colOff>552450</xdr:colOff>
      <xdr:row>29</xdr:row>
      <xdr:rowOff>152400</xdr:rowOff>
    </xdr:from>
    <xdr:to>
      <xdr:col>8</xdr:col>
      <xdr:colOff>38100</xdr:colOff>
      <xdr:row>35</xdr:row>
      <xdr:rowOff>28575</xdr:rowOff>
    </xdr:to>
    <xdr:sp macro="" textlink="">
      <xdr:nvSpPr>
        <xdr:cNvPr id="22419" name="AutoShape 41" descr="157390a0-917a-4649-8370-d3d1d0f7e69d"/>
        <xdr:cNvSpPr>
          <a:spLocks noChangeArrowheads="1"/>
        </xdr:cNvSpPr>
      </xdr:nvSpPr>
      <xdr:spPr bwMode="auto">
        <a:xfrm>
          <a:off x="3600450" y="4914900"/>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6</xdr:col>
      <xdr:colOff>85725</xdr:colOff>
      <xdr:row>30</xdr:row>
      <xdr:rowOff>85725</xdr:rowOff>
    </xdr:from>
    <xdr:to>
      <xdr:col>7</xdr:col>
      <xdr:colOff>438150</xdr:colOff>
      <xdr:row>33</xdr:row>
      <xdr:rowOff>133350</xdr:rowOff>
    </xdr:to>
    <xdr:sp macro="" textlink="">
      <xdr:nvSpPr>
        <xdr:cNvPr id="2068" name="Text Box 20"/>
        <xdr:cNvSpPr txBox="1">
          <a:spLocks noChangeArrowheads="1"/>
        </xdr:cNvSpPr>
      </xdr:nvSpPr>
      <xdr:spPr bwMode="auto">
        <a:xfrm>
          <a:off x="3743325" y="5010150"/>
          <a:ext cx="962025" cy="5334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D3 - </a:t>
          </a:r>
        </a:p>
        <a:p>
          <a:pPr algn="ctr" rtl="0">
            <a:defRPr sz="1000"/>
          </a:pPr>
          <a:r>
            <a:rPr lang="en-US" sz="900" b="0" i="0" u="none" strike="noStrike" baseline="0">
              <a:solidFill>
                <a:srgbClr val="000000"/>
              </a:solidFill>
              <a:latin typeface="Arial"/>
              <a:cs typeface="Arial"/>
            </a:rPr>
            <a:t>Market Maturity </a:t>
          </a:r>
          <a:r>
            <a:rPr lang="en-US" sz="800" b="0" i="0" u="none" strike="noStrike" baseline="0">
              <a:solidFill>
                <a:srgbClr val="000000"/>
              </a:solidFill>
              <a:latin typeface="Arial"/>
              <a:cs typeface="Arial"/>
            </a:rPr>
            <a:t>(Sect. 5.5 Report)</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57150</xdr:colOff>
      <xdr:row>16</xdr:row>
      <xdr:rowOff>0</xdr:rowOff>
    </xdr:from>
    <xdr:to>
      <xdr:col>2</xdr:col>
      <xdr:colOff>152400</xdr:colOff>
      <xdr:row>21</xdr:row>
      <xdr:rowOff>38100</xdr:rowOff>
    </xdr:to>
    <xdr:sp macro="" textlink="">
      <xdr:nvSpPr>
        <xdr:cNvPr id="22421" name="AutoShape 42" descr="e5258a56-98e9-42b9-b41e-715b68a4baf5"/>
        <xdr:cNvSpPr>
          <a:spLocks noChangeArrowheads="1"/>
        </xdr:cNvSpPr>
      </xdr:nvSpPr>
      <xdr:spPr bwMode="auto">
        <a:xfrm>
          <a:off x="57150" y="2657475"/>
          <a:ext cx="1314450" cy="847725"/>
        </a:xfrm>
        <a:prstGeom prst="flowChartDocument">
          <a:avLst/>
        </a:prstGeom>
        <a:solidFill>
          <a:srgbClr val="008080"/>
        </a:solidFill>
        <a:ln w="9525">
          <a:solidFill>
            <a:srgbClr val="000000"/>
          </a:solidFill>
          <a:miter lim="800000"/>
          <a:headEnd/>
          <a:tailEnd/>
        </a:ln>
      </xdr:spPr>
    </xdr:sp>
    <xdr:clientData/>
  </xdr:twoCellAnchor>
  <xdr:twoCellAnchor>
    <xdr:from>
      <xdr:col>3</xdr:col>
      <xdr:colOff>57150</xdr:colOff>
      <xdr:row>23</xdr:row>
      <xdr:rowOff>66675</xdr:rowOff>
    </xdr:from>
    <xdr:to>
      <xdr:col>4</xdr:col>
      <xdr:colOff>533400</xdr:colOff>
      <xdr:row>27</xdr:row>
      <xdr:rowOff>9525</xdr:rowOff>
    </xdr:to>
    <xdr:sp macro="" textlink="">
      <xdr:nvSpPr>
        <xdr:cNvPr id="2076" name="Text Box 28"/>
        <xdr:cNvSpPr txBox="1">
          <a:spLocks noChangeArrowheads="1"/>
        </xdr:cNvSpPr>
      </xdr:nvSpPr>
      <xdr:spPr bwMode="auto">
        <a:xfrm>
          <a:off x="1885950" y="3857625"/>
          <a:ext cx="1085850" cy="5905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B3 - </a:t>
          </a:r>
        </a:p>
        <a:p>
          <a:pPr algn="ctr" rtl="0">
            <a:defRPr sz="1000"/>
          </a:pPr>
          <a:r>
            <a:rPr lang="en-US" sz="900" b="0" i="0" u="none" strike="noStrike" baseline="0">
              <a:solidFill>
                <a:srgbClr val="000000"/>
              </a:solidFill>
              <a:latin typeface="Arial"/>
              <a:cs typeface="Arial"/>
            </a:rPr>
            <a:t>Lost Revenues      </a:t>
          </a:r>
          <a:r>
            <a:rPr lang="en-US" sz="800" b="0" i="0" u="none" strike="noStrike" baseline="0">
              <a:solidFill>
                <a:srgbClr val="000000"/>
              </a:solidFill>
              <a:latin typeface="Arial"/>
              <a:cs typeface="Arial"/>
            </a:rPr>
            <a:t>(For Future Use)</a:t>
          </a:r>
        </a:p>
      </xdr:txBody>
    </xdr:sp>
    <xdr:clientData/>
  </xdr:twoCellAnchor>
  <xdr:twoCellAnchor>
    <xdr:from>
      <xdr:col>0</xdr:col>
      <xdr:colOff>152400</xdr:colOff>
      <xdr:row>16</xdr:row>
      <xdr:rowOff>57150</xdr:rowOff>
    </xdr:from>
    <xdr:to>
      <xdr:col>1</xdr:col>
      <xdr:colOff>552450</xdr:colOff>
      <xdr:row>19</xdr:row>
      <xdr:rowOff>142875</xdr:rowOff>
    </xdr:to>
    <xdr:sp macro="" textlink="">
      <xdr:nvSpPr>
        <xdr:cNvPr id="2059" name="Text Box 11"/>
        <xdr:cNvSpPr txBox="1">
          <a:spLocks noChangeArrowheads="1"/>
        </xdr:cNvSpPr>
      </xdr:nvSpPr>
      <xdr:spPr bwMode="auto">
        <a:xfrm>
          <a:off x="152400" y="2714625"/>
          <a:ext cx="1009650" cy="5715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B2 - </a:t>
          </a:r>
        </a:p>
        <a:p>
          <a:pPr algn="ctr" rtl="0">
            <a:defRPr sz="1000"/>
          </a:pPr>
          <a:r>
            <a:rPr lang="en-US" sz="900" b="0" i="0" u="none" strike="noStrike" baseline="0">
              <a:solidFill>
                <a:srgbClr val="000000"/>
              </a:solidFill>
              <a:latin typeface="Arial"/>
              <a:cs typeface="Arial"/>
            </a:rPr>
            <a:t>Cost Benefit        </a:t>
          </a:r>
          <a:r>
            <a:rPr lang="en-US" sz="800" b="0" i="0" u="none" strike="noStrike" baseline="0">
              <a:solidFill>
                <a:srgbClr val="000000"/>
              </a:solidFill>
              <a:latin typeface="Arial"/>
              <a:cs typeface="Arial"/>
            </a:rPr>
            <a:t>(Sect. 4.3 Report)</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342900</xdr:colOff>
      <xdr:row>7</xdr:row>
      <xdr:rowOff>0</xdr:rowOff>
    </xdr:from>
    <xdr:to>
      <xdr:col>5</xdr:col>
      <xdr:colOff>352425</xdr:colOff>
      <xdr:row>9</xdr:row>
      <xdr:rowOff>0</xdr:rowOff>
    </xdr:to>
    <xdr:cxnSp macro="">
      <xdr:nvCxnSpPr>
        <xdr:cNvPr id="22424" name="AutoShape 44" descr="6bacd240-8d60-470e-b5c6-d5bb4dc4337a"/>
        <xdr:cNvCxnSpPr>
          <a:cxnSpLocks noChangeShapeType="1"/>
          <a:stCxn id="22407" idx="2"/>
          <a:endCxn id="22409" idx="0"/>
        </xdr:cNvCxnSpPr>
      </xdr:nvCxnSpPr>
      <xdr:spPr bwMode="auto">
        <a:xfrm>
          <a:off x="3390900" y="1200150"/>
          <a:ext cx="9525" cy="323850"/>
        </a:xfrm>
        <a:prstGeom prst="straightConnector1">
          <a:avLst/>
        </a:prstGeom>
        <a:noFill/>
        <a:ln w="9525">
          <a:solidFill>
            <a:srgbClr val="000000"/>
          </a:solidFill>
          <a:round/>
          <a:headEnd/>
          <a:tailEnd type="triangle" w="med" len="med"/>
        </a:ln>
      </xdr:spPr>
    </xdr:cxnSp>
    <xdr:clientData/>
  </xdr:twoCellAnchor>
  <xdr:twoCellAnchor>
    <xdr:from>
      <xdr:col>1</xdr:col>
      <xdr:colOff>104775</xdr:colOff>
      <xdr:row>11</xdr:row>
      <xdr:rowOff>104775</xdr:rowOff>
    </xdr:from>
    <xdr:to>
      <xdr:col>4</xdr:col>
      <xdr:colOff>304800</xdr:colOff>
      <xdr:row>16</xdr:row>
      <xdr:rowOff>0</xdr:rowOff>
    </xdr:to>
    <xdr:cxnSp macro="">
      <xdr:nvCxnSpPr>
        <xdr:cNvPr id="22425" name="AutoShape 45" descr="05eaa016-9df7-4e64-9f84-bf3f2b5f5185"/>
        <xdr:cNvCxnSpPr>
          <a:cxnSpLocks noChangeShapeType="1"/>
          <a:stCxn id="22409" idx="1"/>
          <a:endCxn id="22421" idx="0"/>
        </xdr:cNvCxnSpPr>
      </xdr:nvCxnSpPr>
      <xdr:spPr bwMode="auto">
        <a:xfrm flipH="1">
          <a:off x="714375" y="1952625"/>
          <a:ext cx="2028825" cy="704850"/>
        </a:xfrm>
        <a:prstGeom prst="straightConnector1">
          <a:avLst/>
        </a:prstGeom>
        <a:noFill/>
        <a:ln w="9525">
          <a:solidFill>
            <a:srgbClr val="000000"/>
          </a:solidFill>
          <a:round/>
          <a:headEnd/>
          <a:tailEnd type="triangle" w="med" len="med"/>
        </a:ln>
      </xdr:spPr>
    </xdr:cxnSp>
    <xdr:clientData/>
  </xdr:twoCellAnchor>
  <xdr:twoCellAnchor>
    <xdr:from>
      <xdr:col>4</xdr:col>
      <xdr:colOff>28575</xdr:colOff>
      <xdr:row>13</xdr:row>
      <xdr:rowOff>152400</xdr:rowOff>
    </xdr:from>
    <xdr:to>
      <xdr:col>5</xdr:col>
      <xdr:colOff>352425</xdr:colOff>
      <xdr:row>16</xdr:row>
      <xdr:rowOff>0</xdr:rowOff>
    </xdr:to>
    <xdr:cxnSp macro="">
      <xdr:nvCxnSpPr>
        <xdr:cNvPr id="22426" name="AutoShape 46" descr="94431ed0-6349-43ba-bc73-f1da0685227d"/>
        <xdr:cNvCxnSpPr>
          <a:cxnSpLocks noChangeShapeType="1"/>
          <a:stCxn id="22409" idx="2"/>
          <a:endCxn id="22413" idx="0"/>
        </xdr:cNvCxnSpPr>
      </xdr:nvCxnSpPr>
      <xdr:spPr bwMode="auto">
        <a:xfrm flipH="1">
          <a:off x="2466975" y="2324100"/>
          <a:ext cx="933450" cy="333375"/>
        </a:xfrm>
        <a:prstGeom prst="straightConnector1">
          <a:avLst/>
        </a:prstGeom>
        <a:noFill/>
        <a:ln w="9525">
          <a:solidFill>
            <a:srgbClr val="000000"/>
          </a:solidFill>
          <a:round/>
          <a:headEnd/>
          <a:tailEnd type="triangle" w="med" len="med"/>
        </a:ln>
      </xdr:spPr>
    </xdr:cxnSp>
    <xdr:clientData/>
  </xdr:twoCellAnchor>
  <xdr:twoCellAnchor>
    <xdr:from>
      <xdr:col>8</xdr:col>
      <xdr:colOff>523875</xdr:colOff>
      <xdr:row>16</xdr:row>
      <xdr:rowOff>9525</xdr:rowOff>
    </xdr:from>
    <xdr:to>
      <xdr:col>11</xdr:col>
      <xdr:colOff>9525</xdr:colOff>
      <xdr:row>21</xdr:row>
      <xdr:rowOff>47625</xdr:rowOff>
    </xdr:to>
    <xdr:sp macro="" textlink="">
      <xdr:nvSpPr>
        <xdr:cNvPr id="22427" name="AutoShape 49" descr="e1b4da2e-0dfa-4258-8fd1-429ce60ca1a4"/>
        <xdr:cNvSpPr>
          <a:spLocks noChangeArrowheads="1"/>
        </xdr:cNvSpPr>
      </xdr:nvSpPr>
      <xdr:spPr bwMode="auto">
        <a:xfrm>
          <a:off x="5400675" y="2667000"/>
          <a:ext cx="1314450" cy="847725"/>
        </a:xfrm>
        <a:prstGeom prst="flowChartDocument">
          <a:avLst/>
        </a:prstGeom>
        <a:solidFill>
          <a:srgbClr val="C0C0C0"/>
        </a:solidFill>
        <a:ln w="9525">
          <a:solidFill>
            <a:srgbClr val="000000"/>
          </a:solidFill>
          <a:miter lim="800000"/>
          <a:headEnd/>
          <a:tailEnd/>
        </a:ln>
      </xdr:spPr>
    </xdr:sp>
    <xdr:clientData/>
  </xdr:twoCellAnchor>
  <xdr:twoCellAnchor>
    <xdr:from>
      <xdr:col>9</xdr:col>
      <xdr:colOff>95250</xdr:colOff>
      <xdr:row>16</xdr:row>
      <xdr:rowOff>85725</xdr:rowOff>
    </xdr:from>
    <xdr:to>
      <xdr:col>10</xdr:col>
      <xdr:colOff>361950</xdr:colOff>
      <xdr:row>19</xdr:row>
      <xdr:rowOff>123825</xdr:rowOff>
    </xdr:to>
    <xdr:sp macro="" textlink="">
      <xdr:nvSpPr>
        <xdr:cNvPr id="2074" name="Text Box 26"/>
        <xdr:cNvSpPr txBox="1">
          <a:spLocks noChangeArrowheads="1"/>
        </xdr:cNvSpPr>
      </xdr:nvSpPr>
      <xdr:spPr bwMode="auto">
        <a:xfrm>
          <a:off x="5581650" y="2743200"/>
          <a:ext cx="876300" cy="5238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E1 - </a:t>
          </a:r>
        </a:p>
        <a:p>
          <a:pPr algn="ctr" rtl="0">
            <a:defRPr sz="1000"/>
          </a:pPr>
          <a:r>
            <a:rPr lang="en-US" sz="900" b="0" i="0" u="none" strike="noStrike" baseline="0">
              <a:solidFill>
                <a:srgbClr val="000000"/>
              </a:solidFill>
              <a:latin typeface="Arial"/>
              <a:cs typeface="Arial"/>
            </a:rPr>
            <a:t>EECR Reconciliation</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400050</xdr:colOff>
      <xdr:row>11</xdr:row>
      <xdr:rowOff>104775</xdr:rowOff>
    </xdr:from>
    <xdr:to>
      <xdr:col>9</xdr:col>
      <xdr:colOff>571500</xdr:colOff>
      <xdr:row>16</xdr:row>
      <xdr:rowOff>9525</xdr:rowOff>
    </xdr:to>
    <xdr:cxnSp macro="">
      <xdr:nvCxnSpPr>
        <xdr:cNvPr id="22429" name="AutoShape 50" descr="71f064d0-3ef9-4fe1-a75f-717d28f40b53"/>
        <xdr:cNvCxnSpPr>
          <a:cxnSpLocks noChangeShapeType="1"/>
          <a:stCxn id="22409" idx="3"/>
          <a:endCxn id="22427" idx="0"/>
        </xdr:cNvCxnSpPr>
      </xdr:nvCxnSpPr>
      <xdr:spPr bwMode="auto">
        <a:xfrm>
          <a:off x="4057650" y="1952625"/>
          <a:ext cx="2000250" cy="714375"/>
        </a:xfrm>
        <a:prstGeom prst="straightConnector1">
          <a:avLst/>
        </a:prstGeom>
        <a:noFill/>
        <a:ln w="9525">
          <a:solidFill>
            <a:srgbClr val="000000"/>
          </a:solidFill>
          <a:round/>
          <a:headEnd/>
          <a:tailEnd type="triangle" w="med" len="med"/>
        </a:ln>
      </xdr:spPr>
    </xdr:cxnSp>
    <xdr:clientData/>
  </xdr:twoCellAnchor>
  <xdr:twoCellAnchor>
    <xdr:from>
      <xdr:col>5</xdr:col>
      <xdr:colOff>352425</xdr:colOff>
      <xdr:row>13</xdr:row>
      <xdr:rowOff>152400</xdr:rowOff>
    </xdr:from>
    <xdr:to>
      <xdr:col>6</xdr:col>
      <xdr:colOff>581025</xdr:colOff>
      <xdr:row>16</xdr:row>
      <xdr:rowOff>0</xdr:rowOff>
    </xdr:to>
    <xdr:cxnSp macro="">
      <xdr:nvCxnSpPr>
        <xdr:cNvPr id="22430" name="AutoShape 51" descr="17746ba8-ae28-422f-a60d-171ce64b7881"/>
        <xdr:cNvCxnSpPr>
          <a:cxnSpLocks noChangeShapeType="1"/>
          <a:stCxn id="22409" idx="2"/>
          <a:endCxn id="22415" idx="0"/>
        </xdr:cNvCxnSpPr>
      </xdr:nvCxnSpPr>
      <xdr:spPr bwMode="auto">
        <a:xfrm>
          <a:off x="3400425" y="2324100"/>
          <a:ext cx="838200" cy="333375"/>
        </a:xfrm>
        <a:prstGeom prst="straightConnector1">
          <a:avLst/>
        </a:prstGeom>
        <a:noFill/>
        <a:ln w="9525">
          <a:solidFill>
            <a:srgbClr val="000000"/>
          </a:solidFill>
          <a:round/>
          <a:headEnd/>
          <a:tailEnd type="triangle" w="med" len="med"/>
        </a:ln>
      </xdr:spPr>
    </xdr:cxnSp>
    <xdr:clientData/>
  </xdr:twoCellAnchor>
  <xdr:twoCellAnchor>
    <xdr:from>
      <xdr:col>0</xdr:col>
      <xdr:colOff>57150</xdr:colOff>
      <xdr:row>9</xdr:row>
      <xdr:rowOff>0</xdr:rowOff>
    </xdr:from>
    <xdr:to>
      <xdr:col>2</xdr:col>
      <xdr:colOff>152400</xdr:colOff>
      <xdr:row>14</xdr:row>
      <xdr:rowOff>133350</xdr:rowOff>
    </xdr:to>
    <xdr:sp macro="" textlink="">
      <xdr:nvSpPr>
        <xdr:cNvPr id="22431" name="AutoShape 56" descr="66f5bfec-36f4-45c3-93e4-fa30c372b80b"/>
        <xdr:cNvSpPr>
          <a:spLocks noChangeArrowheads="1"/>
        </xdr:cNvSpPr>
      </xdr:nvSpPr>
      <xdr:spPr bwMode="auto">
        <a:xfrm>
          <a:off x="57150" y="1524000"/>
          <a:ext cx="1314450" cy="942975"/>
        </a:xfrm>
        <a:prstGeom prst="flowChartDocument">
          <a:avLst/>
        </a:prstGeom>
        <a:solidFill>
          <a:srgbClr val="99CC00"/>
        </a:solidFill>
        <a:ln w="9525">
          <a:solidFill>
            <a:srgbClr val="000000"/>
          </a:solidFill>
          <a:miter lim="800000"/>
          <a:headEnd/>
          <a:tailEnd/>
        </a:ln>
      </xdr:spPr>
    </xdr:sp>
    <xdr:clientData/>
  </xdr:twoCellAnchor>
  <xdr:twoCellAnchor>
    <xdr:from>
      <xdr:col>0</xdr:col>
      <xdr:colOff>114300</xdr:colOff>
      <xdr:row>9</xdr:row>
      <xdr:rowOff>57150</xdr:rowOff>
    </xdr:from>
    <xdr:to>
      <xdr:col>2</xdr:col>
      <xdr:colOff>57150</xdr:colOff>
      <xdr:row>13</xdr:row>
      <xdr:rowOff>57150</xdr:rowOff>
    </xdr:to>
    <xdr:sp macro="" textlink="">
      <xdr:nvSpPr>
        <xdr:cNvPr id="2101" name="Text Box 53"/>
        <xdr:cNvSpPr txBox="1">
          <a:spLocks noChangeArrowheads="1"/>
        </xdr:cNvSpPr>
      </xdr:nvSpPr>
      <xdr:spPr bwMode="auto">
        <a:xfrm>
          <a:off x="114300" y="1581150"/>
          <a:ext cx="1162050" cy="6477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C1 - </a:t>
          </a:r>
        </a:p>
        <a:p>
          <a:pPr algn="ctr" rtl="0">
            <a:defRPr sz="1000"/>
          </a:pPr>
          <a:r>
            <a:rPr lang="en-US" sz="900" b="0" i="0" u="none" strike="noStrike" baseline="0">
              <a:solidFill>
                <a:srgbClr val="000000"/>
              </a:solidFill>
              <a:latin typeface="Arial"/>
              <a:cs typeface="Arial"/>
            </a:rPr>
            <a:t>EE Portfolio Summary by Program</a:t>
          </a:r>
        </a:p>
        <a:p>
          <a:pPr algn="ctr" rtl="0">
            <a:defRPr sz="1000"/>
          </a:pP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(Sect. 1 Report)</a:t>
          </a:r>
        </a:p>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 nar. rpt.)</a:t>
          </a:r>
        </a:p>
      </xdr:txBody>
    </xdr:sp>
    <xdr:clientData/>
  </xdr:twoCellAnchor>
  <xdr:twoCellAnchor>
    <xdr:from>
      <xdr:col>1</xdr:col>
      <xdr:colOff>104775</xdr:colOff>
      <xdr:row>4</xdr:row>
      <xdr:rowOff>114300</xdr:rowOff>
    </xdr:from>
    <xdr:to>
      <xdr:col>4</xdr:col>
      <xdr:colOff>295275</xdr:colOff>
      <xdr:row>9</xdr:row>
      <xdr:rowOff>0</xdr:rowOff>
    </xdr:to>
    <xdr:cxnSp macro="">
      <xdr:nvCxnSpPr>
        <xdr:cNvPr id="22433" name="AutoShape 60" descr="6b1733e4-de4a-4a75-b14d-52b6f51ccff2"/>
        <xdr:cNvCxnSpPr>
          <a:cxnSpLocks noChangeShapeType="1"/>
          <a:stCxn id="22407" idx="1"/>
          <a:endCxn id="22431" idx="0"/>
        </xdr:cNvCxnSpPr>
      </xdr:nvCxnSpPr>
      <xdr:spPr bwMode="auto">
        <a:xfrm flipH="1">
          <a:off x="714375" y="828675"/>
          <a:ext cx="2019300" cy="695325"/>
        </a:xfrm>
        <a:prstGeom prst="straightConnector1">
          <a:avLst/>
        </a:prstGeom>
        <a:noFill/>
        <a:ln w="9525">
          <a:solidFill>
            <a:srgbClr val="000000"/>
          </a:solidFill>
          <a:round/>
          <a:headEnd/>
          <a:tailEnd type="triangle" w="med" len="med"/>
        </a:ln>
      </xdr:spPr>
    </xdr:cxnSp>
    <xdr:clientData/>
  </xdr:twoCellAnchor>
  <xdr:twoCellAnchor>
    <xdr:from>
      <xdr:col>8</xdr:col>
      <xdr:colOff>542925</xdr:colOff>
      <xdr:row>8</xdr:row>
      <xdr:rowOff>152400</xdr:rowOff>
    </xdr:from>
    <xdr:to>
      <xdr:col>11</xdr:col>
      <xdr:colOff>28575</xdr:colOff>
      <xdr:row>14</xdr:row>
      <xdr:rowOff>123825</xdr:rowOff>
    </xdr:to>
    <xdr:sp macro="" textlink="">
      <xdr:nvSpPr>
        <xdr:cNvPr id="22434" name="AutoShape 64" descr="63432971-ddb2-4db4-b4a0-134efc1cfbb6"/>
        <xdr:cNvSpPr>
          <a:spLocks noChangeArrowheads="1"/>
        </xdr:cNvSpPr>
      </xdr:nvSpPr>
      <xdr:spPr bwMode="auto">
        <a:xfrm>
          <a:off x="5419725" y="1514475"/>
          <a:ext cx="1314450" cy="942975"/>
        </a:xfrm>
        <a:prstGeom prst="flowChartDocument">
          <a:avLst/>
        </a:prstGeom>
        <a:solidFill>
          <a:srgbClr val="99CC00"/>
        </a:solidFill>
        <a:ln w="9525">
          <a:solidFill>
            <a:srgbClr val="000000"/>
          </a:solidFill>
          <a:miter lim="800000"/>
          <a:headEnd/>
          <a:tailEnd/>
        </a:ln>
      </xdr:spPr>
    </xdr:sp>
    <xdr:clientData/>
  </xdr:twoCellAnchor>
  <xdr:twoCellAnchor>
    <xdr:from>
      <xdr:col>8</xdr:col>
      <xdr:colOff>600075</xdr:colOff>
      <xdr:row>9</xdr:row>
      <xdr:rowOff>66675</xdr:rowOff>
    </xdr:from>
    <xdr:to>
      <xdr:col>10</xdr:col>
      <xdr:colOff>542925</xdr:colOff>
      <xdr:row>13</xdr:row>
      <xdr:rowOff>66675</xdr:rowOff>
    </xdr:to>
    <xdr:sp macro="" textlink="">
      <xdr:nvSpPr>
        <xdr:cNvPr id="2113" name="Text Box 65"/>
        <xdr:cNvSpPr txBox="1">
          <a:spLocks noChangeArrowheads="1"/>
        </xdr:cNvSpPr>
      </xdr:nvSpPr>
      <xdr:spPr bwMode="auto">
        <a:xfrm>
          <a:off x="5476875" y="1590675"/>
          <a:ext cx="1162050" cy="6477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C2 - </a:t>
          </a:r>
        </a:p>
        <a:p>
          <a:pPr algn="ctr" rtl="0">
            <a:defRPr sz="1000"/>
          </a:pPr>
          <a:r>
            <a:rPr lang="en-US" sz="900" b="0" i="0" u="none" strike="noStrike" baseline="0">
              <a:solidFill>
                <a:srgbClr val="000000"/>
              </a:solidFill>
              <a:latin typeface="Arial"/>
              <a:cs typeface="Arial"/>
            </a:rPr>
            <a:t>EE Portfolio Summary by Cost Type</a:t>
          </a:r>
        </a:p>
        <a:p>
          <a:pPr algn="ctr" rtl="0">
            <a:defRPr sz="1000"/>
          </a:pP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(Sect. 1 Report)</a:t>
          </a:r>
        </a:p>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 nar. rpt.)</a:t>
          </a:r>
        </a:p>
      </xdr:txBody>
    </xdr:sp>
    <xdr:clientData/>
  </xdr:twoCellAnchor>
  <xdr:twoCellAnchor>
    <xdr:from>
      <xdr:col>6</xdr:col>
      <xdr:colOff>390525</xdr:colOff>
      <xdr:row>4</xdr:row>
      <xdr:rowOff>114300</xdr:rowOff>
    </xdr:from>
    <xdr:to>
      <xdr:col>9</xdr:col>
      <xdr:colOff>590550</xdr:colOff>
      <xdr:row>8</xdr:row>
      <xdr:rowOff>152400</xdr:rowOff>
    </xdr:to>
    <xdr:cxnSp macro="">
      <xdr:nvCxnSpPr>
        <xdr:cNvPr id="22436" name="AutoShape 66" descr="efd84146-5b64-4d30-b6bc-39626452e02b"/>
        <xdr:cNvCxnSpPr>
          <a:cxnSpLocks noChangeShapeType="1"/>
          <a:stCxn id="22407" idx="3"/>
          <a:endCxn id="22434" idx="0"/>
        </xdr:cNvCxnSpPr>
      </xdr:nvCxnSpPr>
      <xdr:spPr bwMode="auto">
        <a:xfrm>
          <a:off x="4048125" y="828675"/>
          <a:ext cx="2028825" cy="685800"/>
        </a:xfrm>
        <a:prstGeom prst="straightConnector1">
          <a:avLst/>
        </a:prstGeom>
        <a:noFill/>
        <a:ln w="9525">
          <a:solidFill>
            <a:srgbClr val="000000"/>
          </a:solidFill>
          <a:round/>
          <a:headEnd/>
          <a:tailEnd type="triangle" w="med" len="med"/>
        </a:ln>
      </xdr:spPr>
    </xdr:cxnSp>
    <xdr:clientData/>
  </xdr:twoCellAnchor>
  <xdr:twoCellAnchor>
    <xdr:from>
      <xdr:col>8</xdr:col>
      <xdr:colOff>552450</xdr:colOff>
      <xdr:row>30</xdr:row>
      <xdr:rowOff>0</xdr:rowOff>
    </xdr:from>
    <xdr:to>
      <xdr:col>11</xdr:col>
      <xdr:colOff>38100</xdr:colOff>
      <xdr:row>35</xdr:row>
      <xdr:rowOff>38100</xdr:rowOff>
    </xdr:to>
    <xdr:sp macro="" textlink="">
      <xdr:nvSpPr>
        <xdr:cNvPr id="22437" name="AutoShape 67" descr="b2774102-1931-4b9b-b3a7-b201a0fb8c33"/>
        <xdr:cNvSpPr>
          <a:spLocks noChangeArrowheads="1"/>
        </xdr:cNvSpPr>
      </xdr:nvSpPr>
      <xdr:spPr bwMode="auto">
        <a:xfrm>
          <a:off x="5429250" y="4924425"/>
          <a:ext cx="1314450" cy="847725"/>
        </a:xfrm>
        <a:prstGeom prst="flowChartDocument">
          <a:avLst/>
        </a:prstGeom>
        <a:solidFill>
          <a:srgbClr val="99CC00"/>
        </a:solidFill>
        <a:ln w="9525">
          <a:solidFill>
            <a:srgbClr val="000000"/>
          </a:solidFill>
          <a:miter lim="800000"/>
          <a:headEnd/>
          <a:tailEnd/>
        </a:ln>
      </xdr:spPr>
    </xdr:sp>
    <xdr:clientData/>
  </xdr:twoCellAnchor>
  <xdr:twoCellAnchor>
    <xdr:from>
      <xdr:col>8</xdr:col>
      <xdr:colOff>590550</xdr:colOff>
      <xdr:row>30</xdr:row>
      <xdr:rowOff>85725</xdr:rowOff>
    </xdr:from>
    <xdr:to>
      <xdr:col>10</xdr:col>
      <xdr:colOff>561975</xdr:colOff>
      <xdr:row>34</xdr:row>
      <xdr:rowOff>57150</xdr:rowOff>
    </xdr:to>
    <xdr:sp macro="" textlink="">
      <xdr:nvSpPr>
        <xdr:cNvPr id="2116" name="Text Box 68"/>
        <xdr:cNvSpPr txBox="1">
          <a:spLocks noChangeArrowheads="1"/>
        </xdr:cNvSpPr>
      </xdr:nvSpPr>
      <xdr:spPr bwMode="auto">
        <a:xfrm>
          <a:off x="5467350" y="5010150"/>
          <a:ext cx="1190625" cy="6191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D4 - </a:t>
          </a:r>
        </a:p>
        <a:p>
          <a:pPr algn="ctr" rtl="0">
            <a:defRPr sz="1000"/>
          </a:pPr>
          <a:r>
            <a:rPr lang="en-US" sz="900" b="0" i="0" u="none" strike="noStrike" baseline="0">
              <a:solidFill>
                <a:srgbClr val="000000"/>
              </a:solidFill>
              <a:latin typeface="Arial"/>
              <a:cs typeface="Arial"/>
            </a:rPr>
            <a:t>Level of Adoption of NAPEE Best Practices</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reshebt\Local%20Settings\Temporary%20Internet%20Files\Content.Outlook\VSFV78VH\COMPREHENSIVE%202010%20EECR%20Program%20Cost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rc\FINACCT\Monthly%20Financials\Gross%20Profit%20by%20State\2008\GP%20by%20State%2012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rc\OPERACTG\GROSS%20MARGIN\BUDGET\2009\2009%20Gross%20Margin%20Budget%20Summary%20-%20Final%20-%20Revised%20for%20FERC%20Refu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rc\FINACCT\Monthly%20Financials\Gross%20Profit%20by%20State\2009\GP%20by%20State%201220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rc\OPERACTG\GROSS%20MARGIN\BUDGET\2010\2010%20Gross%20Margin%20Budget%20Summary%2011122009%20-%20FINAL%20%232%20-%20with%20SO2%20Sale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rc\FINACCT\Monthly%20Financials\Gross%20Profit%20by%20State\2010\GP%20by%20State%2012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_Acct\Riders\AR\EECR_DSM%20Arkansas\EECR%20REVENUE%20COLLECTION\EECR%202010\COMPREHENSIVE%202010%20EECR%20Program%20Cos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M\2009%20Arkansas%20Rate%20Case\2009%20AR%20-%20Comprehensive%20Energy%20Efficiency%20Plan%20-%20Table%20Workshee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qdata\Share\DSM\2009%20Arkansas%20Rate%20Case\2009%20AR%20-%20Comprehensive%20Energy%20Efficiency%20Plan%20-%20Table%20Workshee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SM\Bolz\2010%20OK%20DSM\2010%20Comprehensive%20Programs%2012-31-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breshebt\Local%20Settings\Temporary%20Internet%20Files\Content.Outlook\VSFV78VH\DSM%202010%20CEEP%20Worksheet%20Calculations%20to%20Testimony%20Tab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breshebt\Local%20Settings\Temporary%20Internet%20Files\Content.Outlook\VSFV78VH\Comprehensive%20Energy%20Efficiency%20Plan%20-%20Table%20Worksheets%20AR%202009%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qdata\Share\DSM\Bolz\2010%20OK%20DSM\2010%20Comprehensive%20Programs%2012-31-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breshebt\Local%20Settings\Temporary%20Internet%20Files\Content.Outlook\VSFV78VH\CADC_ACAAA_20110324_final_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rc\OPERACTG\GROSS%20MARGIN\BUDGET\2008\2008%20Gross%20Margin%20Budget%20-%20Round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iture Summary"/>
      <sheetName val="Expenditure Details "/>
    </sheetNames>
    <sheetDataSet>
      <sheetData sheetId="0" refreshError="1"/>
      <sheetData sheetId="1">
        <row r="6">
          <cell r="AM6">
            <v>49.12</v>
          </cell>
        </row>
        <row r="7">
          <cell r="AM7">
            <v>528.74</v>
          </cell>
        </row>
        <row r="8">
          <cell r="AM8">
            <v>345.39</v>
          </cell>
        </row>
        <row r="9">
          <cell r="AM9">
            <v>2392.02</v>
          </cell>
        </row>
        <row r="10">
          <cell r="AM10">
            <v>2271.31</v>
          </cell>
        </row>
        <row r="11">
          <cell r="AM11">
            <v>370</v>
          </cell>
        </row>
        <row r="12">
          <cell r="AM12">
            <v>3673.5</v>
          </cell>
        </row>
        <row r="13">
          <cell r="AM13">
            <v>0</v>
          </cell>
        </row>
        <row r="15">
          <cell r="AM15">
            <v>314.8</v>
          </cell>
        </row>
        <row r="16">
          <cell r="AM16">
            <v>1184.43</v>
          </cell>
        </row>
        <row r="17">
          <cell r="AM17">
            <v>2662.35</v>
          </cell>
        </row>
        <row r="18">
          <cell r="AM18">
            <v>1036234.01</v>
          </cell>
        </row>
        <row r="19">
          <cell r="AM19">
            <v>846.67</v>
          </cell>
        </row>
        <row r="20">
          <cell r="AM20">
            <v>16611.310000000001</v>
          </cell>
        </row>
        <row r="21">
          <cell r="AM21">
            <v>100</v>
          </cell>
        </row>
        <row r="22">
          <cell r="AM22">
            <v>1800</v>
          </cell>
        </row>
        <row r="23">
          <cell r="AM23">
            <v>72.91</v>
          </cell>
        </row>
        <row r="24">
          <cell r="AM24">
            <v>10.5</v>
          </cell>
        </row>
        <row r="25">
          <cell r="AM25">
            <v>76006.37</v>
          </cell>
        </row>
        <row r="26">
          <cell r="AM26">
            <v>2.5499999999999998</v>
          </cell>
        </row>
        <row r="27">
          <cell r="AM27">
            <v>102.54</v>
          </cell>
        </row>
        <row r="28">
          <cell r="AM28">
            <v>601.17999999999995</v>
          </cell>
        </row>
        <row r="29">
          <cell r="AM29">
            <v>461.89</v>
          </cell>
        </row>
        <row r="30">
          <cell r="AM30">
            <v>1562.91</v>
          </cell>
        </row>
        <row r="31">
          <cell r="AM31">
            <v>466.06</v>
          </cell>
        </row>
        <row r="32">
          <cell r="AM32">
            <v>65.48</v>
          </cell>
        </row>
        <row r="38">
          <cell r="AM38">
            <v>0</v>
          </cell>
        </row>
        <row r="39">
          <cell r="AM39">
            <v>0</v>
          </cell>
        </row>
        <row r="40">
          <cell r="AM40">
            <v>0</v>
          </cell>
        </row>
        <row r="41">
          <cell r="AM41">
            <v>0</v>
          </cell>
        </row>
        <row r="42">
          <cell r="AM42">
            <v>0</v>
          </cell>
        </row>
        <row r="43">
          <cell r="AM43">
            <v>0</v>
          </cell>
        </row>
        <row r="44">
          <cell r="AM44">
            <v>62.5</v>
          </cell>
        </row>
        <row r="45">
          <cell r="AM45">
            <v>0</v>
          </cell>
        </row>
        <row r="47">
          <cell r="AM47">
            <v>0</v>
          </cell>
        </row>
        <row r="48">
          <cell r="AM48">
            <v>0</v>
          </cell>
        </row>
        <row r="49">
          <cell r="AM49">
            <v>0</v>
          </cell>
        </row>
        <row r="50">
          <cell r="AM50">
            <v>47804.13</v>
          </cell>
        </row>
        <row r="51">
          <cell r="AM51">
            <v>0</v>
          </cell>
        </row>
        <row r="52">
          <cell r="AM52">
            <v>0</v>
          </cell>
        </row>
        <row r="54">
          <cell r="AM54">
            <v>0</v>
          </cell>
        </row>
        <row r="55">
          <cell r="AM55">
            <v>0</v>
          </cell>
        </row>
        <row r="56">
          <cell r="AM56">
            <v>0</v>
          </cell>
        </row>
        <row r="57">
          <cell r="AM57">
            <v>1499.45</v>
          </cell>
        </row>
        <row r="58">
          <cell r="AM58">
            <v>0</v>
          </cell>
        </row>
        <row r="59">
          <cell r="AM59">
            <v>0</v>
          </cell>
        </row>
        <row r="60">
          <cell r="AM60">
            <v>10.07</v>
          </cell>
        </row>
        <row r="61">
          <cell r="AM61">
            <v>4.12</v>
          </cell>
        </row>
        <row r="62">
          <cell r="AM62">
            <v>20.100000000000001</v>
          </cell>
        </row>
        <row r="63">
          <cell r="AM63">
            <v>3.85</v>
          </cell>
        </row>
        <row r="64">
          <cell r="AM64">
            <v>0.55000000000000004</v>
          </cell>
        </row>
        <row r="89">
          <cell r="AM89">
            <v>60.87</v>
          </cell>
        </row>
        <row r="102">
          <cell r="AM102">
            <v>0</v>
          </cell>
        </row>
        <row r="103">
          <cell r="AM103">
            <v>0</v>
          </cell>
        </row>
        <row r="104">
          <cell r="AM104">
            <v>0</v>
          </cell>
        </row>
        <row r="105">
          <cell r="AM105">
            <v>805.19</v>
          </cell>
        </row>
        <row r="106">
          <cell r="AM106">
            <v>0</v>
          </cell>
        </row>
        <row r="107">
          <cell r="AM107">
            <v>0</v>
          </cell>
        </row>
        <row r="108">
          <cell r="AM108">
            <v>327</v>
          </cell>
        </row>
        <row r="109">
          <cell r="AM109">
            <v>0</v>
          </cell>
        </row>
        <row r="111">
          <cell r="AM111">
            <v>0</v>
          </cell>
        </row>
        <row r="112">
          <cell r="AM112">
            <v>0</v>
          </cell>
        </row>
        <row r="113">
          <cell r="AM113">
            <v>0</v>
          </cell>
        </row>
        <row r="114">
          <cell r="AM114">
            <v>29218</v>
          </cell>
        </row>
        <row r="115">
          <cell r="AM115">
            <v>0</v>
          </cell>
        </row>
        <row r="116">
          <cell r="AM116">
            <v>0</v>
          </cell>
        </row>
        <row r="118">
          <cell r="AM118">
            <v>0</v>
          </cell>
        </row>
        <row r="119">
          <cell r="AM119">
            <v>0</v>
          </cell>
        </row>
        <row r="120">
          <cell r="AM120">
            <v>1.07</v>
          </cell>
        </row>
        <row r="121">
          <cell r="AM121">
            <v>7679.88</v>
          </cell>
        </row>
        <row r="122">
          <cell r="AM122">
            <v>0</v>
          </cell>
        </row>
        <row r="123">
          <cell r="AM123">
            <v>0</v>
          </cell>
        </row>
        <row r="124">
          <cell r="AM124">
            <v>18.39</v>
          </cell>
        </row>
        <row r="125">
          <cell r="AM125">
            <v>12.59</v>
          </cell>
        </row>
        <row r="126">
          <cell r="AM126">
            <v>33.020000000000003</v>
          </cell>
        </row>
        <row r="127">
          <cell r="AM127">
            <v>8.09</v>
          </cell>
        </row>
        <row r="128">
          <cell r="AM128">
            <v>1.1000000000000001</v>
          </cell>
        </row>
        <row r="134">
          <cell r="AM134">
            <v>0</v>
          </cell>
        </row>
        <row r="135">
          <cell r="AM135">
            <v>0</v>
          </cell>
        </row>
        <row r="136">
          <cell r="AM136">
            <v>38.19</v>
          </cell>
        </row>
        <row r="137">
          <cell r="AM137">
            <v>358.97</v>
          </cell>
        </row>
        <row r="138">
          <cell r="AM138">
            <v>60</v>
          </cell>
        </row>
        <row r="139">
          <cell r="AM139">
            <v>0</v>
          </cell>
        </row>
        <row r="140">
          <cell r="AM140">
            <v>449.5</v>
          </cell>
        </row>
        <row r="141">
          <cell r="AM141">
            <v>0</v>
          </cell>
        </row>
        <row r="143">
          <cell r="AM143">
            <v>0</v>
          </cell>
        </row>
        <row r="144">
          <cell r="AM144">
            <v>0</v>
          </cell>
        </row>
        <row r="145">
          <cell r="AM145">
            <v>0</v>
          </cell>
        </row>
        <row r="146">
          <cell r="AM146">
            <v>2450</v>
          </cell>
        </row>
        <row r="147">
          <cell r="AM147">
            <v>0</v>
          </cell>
        </row>
        <row r="148">
          <cell r="AM148">
            <v>0</v>
          </cell>
        </row>
        <row r="150">
          <cell r="AM150">
            <v>0</v>
          </cell>
        </row>
        <row r="151">
          <cell r="AM151">
            <v>0</v>
          </cell>
        </row>
        <row r="152">
          <cell r="AM152">
            <v>2.13</v>
          </cell>
        </row>
        <row r="153">
          <cell r="AM153">
            <v>7795.02</v>
          </cell>
        </row>
        <row r="154">
          <cell r="AM154">
            <v>0</v>
          </cell>
        </row>
        <row r="155">
          <cell r="AM155">
            <v>0</v>
          </cell>
        </row>
        <row r="156">
          <cell r="AM156">
            <v>22.84</v>
          </cell>
        </row>
        <row r="157">
          <cell r="AM157">
            <v>15.85</v>
          </cell>
        </row>
        <row r="158">
          <cell r="AM158">
            <v>40.61</v>
          </cell>
        </row>
        <row r="159">
          <cell r="AM159">
            <v>9.5299999999999994</v>
          </cell>
        </row>
        <row r="160">
          <cell r="AM160">
            <v>1.29</v>
          </cell>
        </row>
        <row r="166">
          <cell r="AM166">
            <v>0</v>
          </cell>
        </row>
        <row r="167">
          <cell r="AM167">
            <v>0</v>
          </cell>
        </row>
        <row r="168">
          <cell r="AM168">
            <v>26.98</v>
          </cell>
        </row>
        <row r="169">
          <cell r="AM169">
            <v>337.08</v>
          </cell>
        </row>
        <row r="170">
          <cell r="AM170">
            <v>0</v>
          </cell>
        </row>
        <row r="171">
          <cell r="AM171">
            <v>0</v>
          </cell>
        </row>
        <row r="172">
          <cell r="AM172">
            <v>687.5</v>
          </cell>
        </row>
        <row r="173">
          <cell r="AM173">
            <v>0</v>
          </cell>
        </row>
        <row r="175">
          <cell r="AM175">
            <v>0</v>
          </cell>
        </row>
        <row r="176">
          <cell r="AM176">
            <v>108.43</v>
          </cell>
        </row>
        <row r="177">
          <cell r="AM177">
            <v>0</v>
          </cell>
        </row>
        <row r="178">
          <cell r="AM178">
            <v>14541.85</v>
          </cell>
        </row>
        <row r="179">
          <cell r="AM179">
            <v>0</v>
          </cell>
        </row>
        <row r="180">
          <cell r="AM180">
            <v>9110</v>
          </cell>
        </row>
        <row r="182">
          <cell r="AM182">
            <v>84</v>
          </cell>
        </row>
        <row r="183">
          <cell r="AM183">
            <v>0</v>
          </cell>
        </row>
        <row r="184">
          <cell r="AM184">
            <v>0.38</v>
          </cell>
        </row>
        <row r="185">
          <cell r="AM185">
            <v>5838.42</v>
          </cell>
        </row>
        <row r="186">
          <cell r="AM186">
            <v>0</v>
          </cell>
        </row>
        <row r="187">
          <cell r="AM187">
            <v>44.53</v>
          </cell>
        </row>
        <row r="188">
          <cell r="AM188">
            <v>35.450000000000003</v>
          </cell>
        </row>
        <row r="189">
          <cell r="AM189">
            <v>39.82</v>
          </cell>
        </row>
        <row r="190">
          <cell r="AM190">
            <v>78.09</v>
          </cell>
        </row>
        <row r="191">
          <cell r="AM191">
            <v>15.86</v>
          </cell>
        </row>
        <row r="192">
          <cell r="AM192">
            <v>1.75</v>
          </cell>
        </row>
        <row r="193">
          <cell r="AM193">
            <v>0</v>
          </cell>
        </row>
        <row r="208">
          <cell r="AM208">
            <v>2331.31</v>
          </cell>
        </row>
        <row r="213">
          <cell r="AM213">
            <v>314.8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ansas"/>
      <sheetName val="Oklahoma"/>
      <sheetName val="Arkansas-whole $"/>
      <sheetName val="Oklahoma-whole $"/>
      <sheetName val="Ck Figures"/>
    </sheetNames>
    <sheetDataSet>
      <sheetData sheetId="0">
        <row r="36">
          <cell r="L36">
            <v>211344</v>
          </cell>
        </row>
        <row r="49">
          <cell r="L49">
            <v>3655529</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ss Margin"/>
      <sheetName val="Revenue"/>
      <sheetName val="Fuel"/>
      <sheetName val="MWH Sales"/>
      <sheetName val="Customers"/>
    </sheetNames>
    <sheetDataSet>
      <sheetData sheetId="0">
        <row r="45">
          <cell r="B45">
            <v>58788</v>
          </cell>
        </row>
      </sheetData>
      <sheetData sheetId="1">
        <row r="25">
          <cell r="N25">
            <v>277835.02825688507</v>
          </cell>
        </row>
      </sheetData>
      <sheetData sheetId="2">
        <row r="49">
          <cell r="B49">
            <v>86121</v>
          </cell>
        </row>
      </sheetData>
      <sheetData sheetId="3">
        <row r="25">
          <cell r="N25">
            <v>3956345</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ansas"/>
      <sheetName val="Oklahoma"/>
      <sheetName val="Arkansas-whole $"/>
      <sheetName val="Oklahoma-whole $"/>
      <sheetName val="Ck Figures"/>
    </sheetNames>
    <sheetDataSet>
      <sheetData sheetId="0">
        <row r="36">
          <cell r="L36">
            <v>177311</v>
          </cell>
        </row>
        <row r="49">
          <cell r="L49">
            <v>3411789</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ross Margin"/>
      <sheetName val="Revenue"/>
      <sheetName val="Fuel"/>
      <sheetName val="MWH Sales"/>
      <sheetName val="MWH Sales by SL"/>
      <sheetName val="Customers"/>
      <sheetName val="Normalized Comparison"/>
    </sheetNames>
    <sheetDataSet>
      <sheetData sheetId="0" refreshError="1"/>
      <sheetData sheetId="1">
        <row r="45">
          <cell r="B45">
            <v>62647</v>
          </cell>
        </row>
      </sheetData>
      <sheetData sheetId="2">
        <row r="25">
          <cell r="N25">
            <v>223389</v>
          </cell>
        </row>
      </sheetData>
      <sheetData sheetId="3">
        <row r="60">
          <cell r="B60">
            <v>65409</v>
          </cell>
        </row>
      </sheetData>
      <sheetData sheetId="4">
        <row r="25">
          <cell r="N25">
            <v>3629139</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ansas"/>
      <sheetName val="Oklahoma"/>
      <sheetName val="Arkansas-whole $"/>
      <sheetName val="Oklahoma-whole $"/>
      <sheetName val="Ck Figures"/>
    </sheetNames>
    <sheetDataSet>
      <sheetData sheetId="0">
        <row r="36">
          <cell r="L36">
            <v>223501</v>
          </cell>
        </row>
        <row r="49">
          <cell r="L49">
            <v>3783742</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iture Summary"/>
      <sheetName val="Expenditure Details "/>
      <sheetName val="Expenditure Summary 2011"/>
      <sheetName val="Expenditure Details  2011"/>
      <sheetName val="Sheet3"/>
    </sheetNames>
    <sheetDataSet>
      <sheetData sheetId="0">
        <row r="18">
          <cell r="Z18">
            <v>89369.95</v>
          </cell>
          <cell r="AA18">
            <v>1059366.0900000001</v>
          </cell>
        </row>
        <row r="19">
          <cell r="Z19">
            <v>1600.64</v>
          </cell>
          <cell r="AA19">
            <v>47804.13</v>
          </cell>
        </row>
        <row r="20">
          <cell r="Z20">
            <v>60.87</v>
          </cell>
          <cell r="AA20">
            <v>0</v>
          </cell>
        </row>
        <row r="21">
          <cell r="Z21">
            <v>8885.26</v>
          </cell>
          <cell r="AA21">
            <v>29219.07</v>
          </cell>
        </row>
        <row r="22">
          <cell r="Z22">
            <v>8753.61</v>
          </cell>
          <cell r="AA22">
            <v>2490.3200000000002</v>
          </cell>
        </row>
        <row r="23">
          <cell r="Z23">
            <v>7142.4</v>
          </cell>
          <cell r="AA23">
            <v>23807.74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Savings"/>
      <sheetName val="Lost Revenue"/>
      <sheetName val="Benefit Cost Bene"/>
      <sheetName val="Weatherization"/>
      <sheetName val="Living Wise"/>
      <sheetName val="Customer Energy Report"/>
      <sheetName val="Commercial Lighting"/>
      <sheetName val="Commercial Motors"/>
      <sheetName val="Education Cooperative"/>
      <sheetName val="Bill Brooks Tables"/>
    </sheetNames>
    <sheetDataSet>
      <sheetData sheetId="0">
        <row r="31">
          <cell r="C31">
            <v>150000</v>
          </cell>
        </row>
      </sheetData>
      <sheetData sheetId="1"/>
      <sheetData sheetId="2">
        <row r="9">
          <cell r="B9">
            <v>-3.2500000000000001E-2</v>
          </cell>
        </row>
      </sheetData>
      <sheetData sheetId="3"/>
      <sheetData sheetId="4">
        <row r="4">
          <cell r="D4">
            <v>1557</v>
          </cell>
          <cell r="V4">
            <v>1051500</v>
          </cell>
        </row>
        <row r="5">
          <cell r="D5">
            <v>2336</v>
          </cell>
        </row>
        <row r="6">
          <cell r="D6">
            <v>2336</v>
          </cell>
        </row>
        <row r="7">
          <cell r="D7">
            <v>2336</v>
          </cell>
        </row>
        <row r="8">
          <cell r="D8">
            <v>2336</v>
          </cell>
        </row>
        <row r="9">
          <cell r="D9">
            <v>2336</v>
          </cell>
        </row>
        <row r="10">
          <cell r="D10">
            <v>2336</v>
          </cell>
        </row>
        <row r="11">
          <cell r="D11">
            <v>2336</v>
          </cell>
        </row>
        <row r="12">
          <cell r="D12">
            <v>2336</v>
          </cell>
        </row>
        <row r="13">
          <cell r="D13">
            <v>2029</v>
          </cell>
        </row>
        <row r="14">
          <cell r="D14">
            <v>1189</v>
          </cell>
        </row>
        <row r="15">
          <cell r="D15">
            <v>846</v>
          </cell>
        </row>
        <row r="16">
          <cell r="D16">
            <v>846</v>
          </cell>
        </row>
        <row r="17">
          <cell r="D17">
            <v>846</v>
          </cell>
        </row>
        <row r="18">
          <cell r="D18">
            <v>846</v>
          </cell>
        </row>
        <row r="19">
          <cell r="D19">
            <v>494</v>
          </cell>
        </row>
        <row r="20">
          <cell r="D20">
            <v>318</v>
          </cell>
        </row>
        <row r="21">
          <cell r="D21">
            <v>318</v>
          </cell>
        </row>
        <row r="22">
          <cell r="D22">
            <v>318</v>
          </cell>
        </row>
        <row r="23">
          <cell r="D23">
            <v>318</v>
          </cell>
        </row>
        <row r="24">
          <cell r="D24">
            <v>318</v>
          </cell>
        </row>
        <row r="25">
          <cell r="D25">
            <v>318</v>
          </cell>
        </row>
        <row r="26">
          <cell r="D26">
            <v>318</v>
          </cell>
        </row>
        <row r="27">
          <cell r="D27">
            <v>318</v>
          </cell>
        </row>
        <row r="28">
          <cell r="D28">
            <v>318</v>
          </cell>
        </row>
        <row r="29">
          <cell r="D29">
            <v>106</v>
          </cell>
        </row>
      </sheetData>
      <sheetData sheetId="5">
        <row r="4">
          <cell r="J4">
            <v>9.43</v>
          </cell>
        </row>
      </sheetData>
      <sheetData sheetId="6">
        <row r="4">
          <cell r="J4">
            <v>22.94</v>
          </cell>
        </row>
      </sheetData>
      <sheetData sheetId="7">
        <row r="4">
          <cell r="E4">
            <v>37990</v>
          </cell>
        </row>
      </sheetData>
      <sheetData sheetId="8">
        <row r="4">
          <cell r="J4">
            <v>7.04</v>
          </cell>
        </row>
      </sheetData>
      <sheetData sheetId="9">
        <row r="5">
          <cell r="J5">
            <v>46.98</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Savings"/>
      <sheetName val="Lost Revenue"/>
      <sheetName val="Benefit Cost Bene"/>
      <sheetName val="Weatherization"/>
      <sheetName val="Living Wise"/>
      <sheetName val="Customer Energy Report"/>
      <sheetName val="Commercial Lighting"/>
      <sheetName val="Commercial Motors"/>
      <sheetName val="Education Cooperative"/>
      <sheetName val="Bill Brooks Tables"/>
    </sheetNames>
    <sheetDataSet>
      <sheetData sheetId="0">
        <row r="9">
          <cell r="I9">
            <v>1802250</v>
          </cell>
        </row>
        <row r="13">
          <cell r="C13">
            <v>7000</v>
          </cell>
        </row>
        <row r="17">
          <cell r="D17">
            <v>25</v>
          </cell>
        </row>
        <row r="19">
          <cell r="C19">
            <v>32045</v>
          </cell>
          <cell r="D19">
            <v>1</v>
          </cell>
        </row>
        <row r="35">
          <cell r="C35">
            <v>2500</v>
          </cell>
          <cell r="D35">
            <v>500</v>
          </cell>
        </row>
      </sheetData>
      <sheetData sheetId="1">
        <row r="8">
          <cell r="C8">
            <v>611</v>
          </cell>
          <cell r="F8">
            <v>305</v>
          </cell>
        </row>
        <row r="10">
          <cell r="C10">
            <v>11</v>
          </cell>
          <cell r="F10">
            <v>5</v>
          </cell>
        </row>
        <row r="12">
          <cell r="C12">
            <v>55</v>
          </cell>
          <cell r="F12">
            <v>27</v>
          </cell>
        </row>
        <row r="20">
          <cell r="D20">
            <v>2666631</v>
          </cell>
        </row>
      </sheetData>
      <sheetData sheetId="2"/>
      <sheetData sheetId="3"/>
      <sheetData sheetId="4">
        <row r="3">
          <cell r="P3" t="str">
            <v>Year</v>
          </cell>
        </row>
      </sheetData>
      <sheetData sheetId="5">
        <row r="4">
          <cell r="J4">
            <v>9.43</v>
          </cell>
          <cell r="R4">
            <v>115850</v>
          </cell>
          <cell r="Z4">
            <v>51000</v>
          </cell>
          <cell r="AB4">
            <v>10000</v>
          </cell>
        </row>
        <row r="5">
          <cell r="R5">
            <v>173775</v>
          </cell>
        </row>
        <row r="6">
          <cell r="R6">
            <v>173775</v>
          </cell>
        </row>
        <row r="7">
          <cell r="R7">
            <v>173775</v>
          </cell>
        </row>
        <row r="8">
          <cell r="R8">
            <v>173775</v>
          </cell>
        </row>
        <row r="9">
          <cell r="R9">
            <v>173775</v>
          </cell>
        </row>
        <row r="10">
          <cell r="R10">
            <v>173775</v>
          </cell>
        </row>
        <row r="11">
          <cell r="R11">
            <v>173775</v>
          </cell>
        </row>
        <row r="12">
          <cell r="R12">
            <v>173775</v>
          </cell>
          <cell r="AO12">
            <v>1200</v>
          </cell>
        </row>
        <row r="13">
          <cell r="R13">
            <v>173775</v>
          </cell>
        </row>
        <row r="14">
          <cell r="R14">
            <v>57925</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sheetData>
      <sheetData sheetId="6">
        <row r="4">
          <cell r="Q4">
            <v>500</v>
          </cell>
          <cell r="R4">
            <v>168067</v>
          </cell>
        </row>
        <row r="5">
          <cell r="R5">
            <v>252101</v>
          </cell>
        </row>
        <row r="6">
          <cell r="R6">
            <v>252101</v>
          </cell>
        </row>
        <row r="7">
          <cell r="R7">
            <v>252101</v>
          </cell>
        </row>
        <row r="8">
          <cell r="R8">
            <v>252101</v>
          </cell>
        </row>
        <row r="9">
          <cell r="R9">
            <v>252101</v>
          </cell>
        </row>
        <row r="10">
          <cell r="R10">
            <v>252101</v>
          </cell>
        </row>
        <row r="11">
          <cell r="R11">
            <v>252101</v>
          </cell>
        </row>
        <row r="12">
          <cell r="R12">
            <v>252101</v>
          </cell>
        </row>
        <row r="13">
          <cell r="R13">
            <v>252101</v>
          </cell>
        </row>
        <row r="14">
          <cell r="R14">
            <v>84034</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sheetData>
      <sheetData sheetId="7">
        <row r="4">
          <cell r="Q4">
            <v>10</v>
          </cell>
        </row>
      </sheetData>
      <sheetData sheetId="8">
        <row r="4">
          <cell r="Q4">
            <v>25</v>
          </cell>
        </row>
      </sheetData>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K Regulatory Page"/>
      <sheetName val="AR Regulatory Page"/>
      <sheetName val="Regional Sales"/>
      <sheetName val="AR"/>
      <sheetName val="LI"/>
      <sheetName val="FI"/>
      <sheetName val="HEEP"/>
      <sheetName val="PE-NHC"/>
      <sheetName val="GEO"/>
      <sheetName val="Light"/>
      <sheetName val="SOP"/>
      <sheetName val="CER"/>
      <sheetName val="LivingWise"/>
      <sheetName val="Media"/>
      <sheetName val="Miscellaneous"/>
      <sheetName val="RevReq Lost Revenue"/>
      <sheetName val="Quick Start DPR Lost Revenue"/>
    </sheetNames>
    <sheetDataSet>
      <sheetData sheetId="0" refreshError="1"/>
      <sheetData sheetId="1" refreshError="1"/>
      <sheetData sheetId="2" refreshError="1"/>
      <sheetData sheetId="3" refreshError="1"/>
      <sheetData sheetId="4">
        <row r="28">
          <cell r="C28">
            <v>1.119</v>
          </cell>
        </row>
        <row r="30">
          <cell r="B30">
            <v>699</v>
          </cell>
          <cell r="E30">
            <v>782.18100000000004</v>
          </cell>
        </row>
      </sheetData>
      <sheetData sheetId="5" refreshError="1"/>
      <sheetData sheetId="6" refreshError="1"/>
      <sheetData sheetId="7" refreshError="1"/>
      <sheetData sheetId="8" refreshError="1"/>
      <sheetData sheetId="9" refreshError="1"/>
      <sheetData sheetId="10" refreshError="1"/>
      <sheetData sheetId="11" refreshError="1"/>
      <sheetData sheetId="12">
        <row r="18">
          <cell r="B18">
            <v>736</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atherization"/>
      <sheetName val="Living Wise"/>
      <sheetName val="CER"/>
      <sheetName val="Comm Light"/>
      <sheetName val="Comm Motor"/>
      <sheetName val="Education"/>
      <sheetName val="File Source"/>
    </sheetNames>
    <sheetDataSet>
      <sheetData sheetId="0">
        <row r="39">
          <cell r="C39">
            <v>25934298</v>
          </cell>
        </row>
        <row r="42">
          <cell r="C42">
            <v>4718901.9291429808</v>
          </cell>
        </row>
      </sheetData>
      <sheetData sheetId="1">
        <row r="39">
          <cell r="C39">
            <v>1223206.8507999999</v>
          </cell>
        </row>
        <row r="42">
          <cell r="C42">
            <v>61445.158443831213</v>
          </cell>
        </row>
        <row r="58">
          <cell r="G58">
            <v>0.17468993150684931</v>
          </cell>
        </row>
      </sheetData>
      <sheetData sheetId="2">
        <row r="39">
          <cell r="C39">
            <v>178640</v>
          </cell>
        </row>
        <row r="42">
          <cell r="C42">
            <v>11829.09687408392</v>
          </cell>
        </row>
      </sheetData>
      <sheetData sheetId="3">
        <row r="39">
          <cell r="C39">
            <v>14761069.68</v>
          </cell>
        </row>
        <row r="42">
          <cell r="C42">
            <v>1041509.5731953074</v>
          </cell>
        </row>
      </sheetData>
      <sheetData sheetId="4">
        <row r="39">
          <cell r="C39">
            <v>1635099.9499999997</v>
          </cell>
        </row>
        <row r="42">
          <cell r="C42">
            <v>68076.714637958299</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Savings"/>
      <sheetName val="Lost Revenue"/>
      <sheetName val="Benefit Cost Bene"/>
      <sheetName val="Bill Brooks Tables"/>
      <sheetName val="Weatherization"/>
      <sheetName val="Living Wise"/>
      <sheetName val="Customer Energy Report"/>
      <sheetName val="Commercial Lighting"/>
      <sheetName val="Commercial Motors"/>
      <sheetName val="Education Cooperative"/>
    </sheetNames>
    <sheetDataSet>
      <sheetData sheetId="0">
        <row r="15">
          <cell r="C15">
            <v>55440</v>
          </cell>
        </row>
        <row r="17">
          <cell r="C17">
            <v>7500</v>
          </cell>
        </row>
        <row r="37">
          <cell r="C37">
            <v>18000</v>
          </cell>
        </row>
        <row r="39">
          <cell r="C39">
            <v>2500</v>
          </cell>
        </row>
      </sheetData>
      <sheetData sheetId="1" refreshError="1"/>
      <sheetData sheetId="2" refreshError="1"/>
      <sheetData sheetId="3">
        <row r="15">
          <cell r="B15">
            <v>4.8628314289946424</v>
          </cell>
          <cell r="C15">
            <v>1.4939278575231285</v>
          </cell>
          <cell r="D15">
            <v>0.50909246502075223</v>
          </cell>
          <cell r="E15">
            <v>3.7202074913163412</v>
          </cell>
          <cell r="F15">
            <v>3.8164700814751678</v>
          </cell>
        </row>
        <row r="16">
          <cell r="B16">
            <v>7562.6900000000005</v>
          </cell>
          <cell r="C16">
            <v>983.44</v>
          </cell>
          <cell r="D16">
            <v>-2868.25</v>
          </cell>
          <cell r="E16">
            <v>5936.1999999999989</v>
          </cell>
          <cell r="F16">
            <v>6146.27</v>
          </cell>
        </row>
      </sheetData>
      <sheetData sheetId="4" refreshError="1"/>
      <sheetData sheetId="5">
        <row r="4">
          <cell r="J4">
            <v>4.0599999999999996</v>
          </cell>
          <cell r="K4">
            <v>1</v>
          </cell>
          <cell r="L4">
            <v>0.55000000000000004</v>
          </cell>
          <cell r="M4">
            <v>3.67</v>
          </cell>
          <cell r="N4">
            <v>3.73</v>
          </cell>
        </row>
        <row r="5">
          <cell r="J5">
            <v>4686.54</v>
          </cell>
          <cell r="K5">
            <v>6.95</v>
          </cell>
          <cell r="L5">
            <v>-1436.5</v>
          </cell>
          <cell r="M5">
            <v>4730.4799999999996</v>
          </cell>
          <cell r="N5">
            <v>4836.76</v>
          </cell>
        </row>
        <row r="35">
          <cell r="W35">
            <v>2.5693172304119473E-2</v>
          </cell>
        </row>
      </sheetData>
      <sheetData sheetId="6">
        <row r="4">
          <cell r="J4">
            <v>9.43</v>
          </cell>
          <cell r="K4">
            <v>0.59</v>
          </cell>
          <cell r="L4">
            <v>0.28000000000000003</v>
          </cell>
          <cell r="M4">
            <v>1.83</v>
          </cell>
          <cell r="N4">
            <v>2.02</v>
          </cell>
        </row>
        <row r="5">
          <cell r="J5">
            <v>627.34</v>
          </cell>
          <cell r="K5">
            <v>-36.799999999999997</v>
          </cell>
          <cell r="L5">
            <v>-132.34</v>
          </cell>
          <cell r="M5">
            <v>29.52</v>
          </cell>
          <cell r="N5">
            <v>36.24</v>
          </cell>
        </row>
        <row r="35">
          <cell r="W35">
            <v>2.6024495663508264E-2</v>
          </cell>
        </row>
      </sheetData>
      <sheetData sheetId="7">
        <row r="4">
          <cell r="J4">
            <v>22.94</v>
          </cell>
          <cell r="K4">
            <v>12.86</v>
          </cell>
          <cell r="L4">
            <v>0.88</v>
          </cell>
          <cell r="M4">
            <v>16.260000000000002</v>
          </cell>
          <cell r="N4">
            <v>17.2</v>
          </cell>
        </row>
        <row r="5">
          <cell r="J5">
            <v>144</v>
          </cell>
          <cell r="K5">
            <v>120.78</v>
          </cell>
          <cell r="L5">
            <v>-17.809999999999999</v>
          </cell>
          <cell r="M5">
            <v>157.63999999999999</v>
          </cell>
          <cell r="N5">
            <v>167.4</v>
          </cell>
        </row>
        <row r="35">
          <cell r="W35">
            <v>2.628752767511628E-2</v>
          </cell>
        </row>
      </sheetData>
      <sheetData sheetId="8">
        <row r="4">
          <cell r="D4">
            <v>1125</v>
          </cell>
          <cell r="J4">
            <v>8.2899999999999991</v>
          </cell>
          <cell r="K4">
            <v>11.48</v>
          </cell>
          <cell r="L4">
            <v>0.45</v>
          </cell>
          <cell r="M4">
            <v>4.3600000000000003</v>
          </cell>
          <cell r="N4">
            <v>4.63</v>
          </cell>
        </row>
        <row r="5">
          <cell r="D5">
            <v>1875</v>
          </cell>
          <cell r="J5">
            <v>2029.35</v>
          </cell>
          <cell r="K5">
            <v>904.84</v>
          </cell>
          <cell r="L5">
            <v>-1199.6199999999999</v>
          </cell>
          <cell r="M5">
            <v>1018.34</v>
          </cell>
          <cell r="N5">
            <v>1101.46</v>
          </cell>
        </row>
        <row r="6">
          <cell r="D6">
            <v>1875</v>
          </cell>
        </row>
        <row r="7">
          <cell r="D7">
            <v>1875</v>
          </cell>
        </row>
        <row r="8">
          <cell r="D8">
            <v>1875</v>
          </cell>
        </row>
        <row r="9">
          <cell r="D9">
            <v>1875</v>
          </cell>
        </row>
        <row r="10">
          <cell r="D10">
            <v>1875</v>
          </cell>
        </row>
        <row r="11">
          <cell r="D11">
            <v>1875</v>
          </cell>
        </row>
        <row r="12">
          <cell r="D12">
            <v>1875</v>
          </cell>
        </row>
        <row r="13">
          <cell r="D13">
            <v>1875</v>
          </cell>
        </row>
        <row r="14">
          <cell r="D14">
            <v>1875</v>
          </cell>
        </row>
        <row r="15">
          <cell r="D15">
            <v>1875</v>
          </cell>
        </row>
        <row r="16">
          <cell r="D16">
            <v>750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5">
          <cell r="W35">
            <v>2.6059544260473383E-2</v>
          </cell>
        </row>
      </sheetData>
      <sheetData sheetId="9">
        <row r="4">
          <cell r="D4">
            <v>63</v>
          </cell>
          <cell r="J4">
            <v>1.44</v>
          </cell>
          <cell r="K4">
            <v>4.04</v>
          </cell>
          <cell r="L4">
            <v>0.56999999999999995</v>
          </cell>
          <cell r="M4">
            <v>1</v>
          </cell>
          <cell r="N4">
            <v>1.07</v>
          </cell>
        </row>
        <row r="5">
          <cell r="D5">
            <v>101</v>
          </cell>
          <cell r="J5">
            <v>28.47</v>
          </cell>
          <cell r="K5">
            <v>34.5</v>
          </cell>
          <cell r="L5">
            <v>-35.15</v>
          </cell>
          <cell r="M5">
            <v>0.2</v>
          </cell>
          <cell r="N5">
            <v>4.41</v>
          </cell>
        </row>
        <row r="6">
          <cell r="D6">
            <v>101</v>
          </cell>
        </row>
        <row r="7">
          <cell r="D7">
            <v>101</v>
          </cell>
        </row>
        <row r="8">
          <cell r="D8">
            <v>101</v>
          </cell>
        </row>
        <row r="9">
          <cell r="D9">
            <v>101</v>
          </cell>
        </row>
        <row r="10">
          <cell r="D10">
            <v>101</v>
          </cell>
        </row>
        <row r="11">
          <cell r="D11">
            <v>101</v>
          </cell>
        </row>
        <row r="12">
          <cell r="D12">
            <v>101</v>
          </cell>
        </row>
        <row r="13">
          <cell r="D13">
            <v>101</v>
          </cell>
        </row>
        <row r="14">
          <cell r="D14">
            <v>101</v>
          </cell>
        </row>
        <row r="15">
          <cell r="D15">
            <v>38</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5">
          <cell r="W35">
            <v>2.6493977746364108E-2</v>
          </cell>
        </row>
      </sheetData>
      <sheetData sheetId="10">
        <row r="5">
          <cell r="J5">
            <v>46.98</v>
          </cell>
          <cell r="K5">
            <v>-46.84</v>
          </cell>
          <cell r="L5">
            <v>-46.84</v>
          </cell>
          <cell r="M5">
            <v>0</v>
          </cell>
          <cell r="N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K Regulatory Page"/>
      <sheetName val="AR Regulatory Page"/>
      <sheetName val="Regional Sales"/>
      <sheetName val="AR"/>
      <sheetName val="LI"/>
      <sheetName val="FI"/>
      <sheetName val="HEEP"/>
      <sheetName val="PE-NHC"/>
      <sheetName val="GEO"/>
      <sheetName val="Light"/>
      <sheetName val="SOP"/>
      <sheetName val="CER"/>
      <sheetName val="LivingWise"/>
      <sheetName val="Media"/>
      <sheetName val="Miscellaneous"/>
      <sheetName val="RevReq Lost Revenue"/>
      <sheetName val="Quick Start DPR Lost Revenue"/>
    </sheetNames>
    <sheetDataSet>
      <sheetData sheetId="0"/>
      <sheetData sheetId="1"/>
      <sheetData sheetId="2"/>
      <sheetData sheetId="3"/>
      <sheetData sheetId="4">
        <row r="13">
          <cell r="H13">
            <v>4143096</v>
          </cell>
        </row>
        <row r="47">
          <cell r="B47">
            <v>1199</v>
          </cell>
          <cell r="E47">
            <v>63.546999999999997</v>
          </cell>
        </row>
        <row r="64">
          <cell r="B64">
            <v>58</v>
          </cell>
          <cell r="E64">
            <v>5.8</v>
          </cell>
        </row>
        <row r="81">
          <cell r="B81">
            <v>0</v>
          </cell>
        </row>
        <row r="98">
          <cell r="B98">
            <v>23</v>
          </cell>
          <cell r="E98">
            <v>440.47499999999997</v>
          </cell>
        </row>
        <row r="115">
          <cell r="B115">
            <v>21</v>
          </cell>
          <cell r="E115">
            <v>25.047000000000001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AAA"/>
      <sheetName val="SWEPCO"/>
      <sheetName val="Entergy"/>
      <sheetName val="OGE"/>
      <sheetName val="CenterPoint"/>
      <sheetName val="SourceGas"/>
      <sheetName val="AOG"/>
      <sheetName val="Empire"/>
    </sheetNames>
    <sheetDataSet>
      <sheetData sheetId="0"/>
      <sheetData sheetId="1" refreshError="1"/>
      <sheetData sheetId="2" refreshError="1"/>
      <sheetData sheetId="3">
        <row r="58">
          <cell r="S58">
            <v>78.137220000000013</v>
          </cell>
        </row>
        <row r="60">
          <cell r="T60">
            <v>3976931.3220000006</v>
          </cell>
        </row>
      </sheetData>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ss Margin"/>
      <sheetName val="Revenue"/>
      <sheetName val="Fuel"/>
      <sheetName val="MWH Sales"/>
    </sheetNames>
    <sheetDataSet>
      <sheetData sheetId="0">
        <row r="45">
          <cell r="B45">
            <v>49956</v>
          </cell>
        </row>
      </sheetData>
      <sheetData sheetId="1">
        <row r="25">
          <cell r="N25">
            <v>238611.19636664889</v>
          </cell>
        </row>
      </sheetData>
      <sheetData sheetId="2">
        <row r="49">
          <cell r="B49">
            <v>74348</v>
          </cell>
        </row>
      </sheetData>
      <sheetData sheetId="3">
        <row r="25">
          <cell r="N25">
            <v>4126501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9"/>
  <sheetViews>
    <sheetView workbookViewId="0">
      <selection activeCell="D9" sqref="D9"/>
    </sheetView>
  </sheetViews>
  <sheetFormatPr defaultRowHeight="12.75"/>
  <cols>
    <col min="1" max="1" width="7" customWidth="1"/>
    <col min="2" max="2" width="10.85546875" customWidth="1"/>
    <col min="3" max="3" width="31.42578125" customWidth="1"/>
    <col min="4" max="4" width="60.5703125" customWidth="1"/>
    <col min="5" max="5" width="10.28515625" customWidth="1"/>
    <col min="6" max="6" width="13" customWidth="1"/>
    <col min="7" max="7" width="16.42578125" bestFit="1" customWidth="1"/>
  </cols>
  <sheetData>
    <row r="1" spans="1:7" ht="28.5" thickBot="1">
      <c r="A1" s="181" t="s">
        <v>102</v>
      </c>
      <c r="B1" s="181"/>
      <c r="C1" s="181"/>
      <c r="D1" s="181"/>
      <c r="E1" s="181"/>
      <c r="F1" s="181"/>
      <c r="G1" s="182"/>
    </row>
    <row r="3" spans="1:7" ht="25.5">
      <c r="A3" s="180" t="s">
        <v>104</v>
      </c>
      <c r="B3" s="180" t="s">
        <v>105</v>
      </c>
      <c r="C3" s="180" t="s">
        <v>107</v>
      </c>
      <c r="D3" s="180" t="s">
        <v>106</v>
      </c>
      <c r="E3" s="180" t="s">
        <v>125</v>
      </c>
      <c r="F3" s="180" t="s">
        <v>131</v>
      </c>
      <c r="G3" s="180" t="s">
        <v>132</v>
      </c>
    </row>
    <row r="4" spans="1:7">
      <c r="A4" s="180"/>
      <c r="B4" s="180"/>
      <c r="C4" s="180"/>
      <c r="D4" s="180"/>
      <c r="E4" s="180"/>
      <c r="F4" s="180"/>
      <c r="G4" s="180"/>
    </row>
    <row r="5" spans="1:7">
      <c r="A5" s="230" t="s">
        <v>103</v>
      </c>
      <c r="B5" s="231" t="s">
        <v>111</v>
      </c>
      <c r="C5" s="232" t="s">
        <v>149</v>
      </c>
      <c r="D5" s="233" t="s">
        <v>150</v>
      </c>
      <c r="E5" s="265" t="s">
        <v>189</v>
      </c>
      <c r="F5" s="265" t="s">
        <v>189</v>
      </c>
      <c r="G5" s="231" t="s">
        <v>192</v>
      </c>
    </row>
    <row r="6" spans="1:7">
      <c r="A6" s="230" t="s">
        <v>118</v>
      </c>
      <c r="B6" s="231" t="s">
        <v>111</v>
      </c>
      <c r="C6" s="232" t="s">
        <v>112</v>
      </c>
      <c r="D6" s="233" t="s">
        <v>151</v>
      </c>
      <c r="E6" s="265" t="s">
        <v>189</v>
      </c>
      <c r="F6" s="231" t="s">
        <v>103</v>
      </c>
      <c r="G6" s="231" t="s">
        <v>216</v>
      </c>
    </row>
    <row r="7" spans="1:7" ht="25.5">
      <c r="A7" s="230" t="s">
        <v>121</v>
      </c>
      <c r="B7" s="231" t="s">
        <v>191</v>
      </c>
      <c r="C7" s="232" t="s">
        <v>109</v>
      </c>
      <c r="D7" s="233" t="s">
        <v>126</v>
      </c>
      <c r="E7" s="231">
        <v>1</v>
      </c>
      <c r="F7" s="265" t="s">
        <v>189</v>
      </c>
      <c r="G7" s="265" t="s">
        <v>189</v>
      </c>
    </row>
    <row r="8" spans="1:7">
      <c r="A8" s="230" t="s">
        <v>122</v>
      </c>
      <c r="B8" s="231" t="s">
        <v>191</v>
      </c>
      <c r="C8" s="232" t="s">
        <v>120</v>
      </c>
      <c r="D8" s="233" t="s">
        <v>140</v>
      </c>
      <c r="E8" s="231">
        <v>4.3</v>
      </c>
      <c r="F8" s="231" t="s">
        <v>118</v>
      </c>
      <c r="G8" s="265" t="s">
        <v>189</v>
      </c>
    </row>
    <row r="9" spans="1:7" ht="25.5">
      <c r="A9" s="230" t="s">
        <v>190</v>
      </c>
      <c r="B9" s="231" t="s">
        <v>191</v>
      </c>
      <c r="C9" s="232" t="s">
        <v>98</v>
      </c>
      <c r="D9" s="233" t="s">
        <v>240</v>
      </c>
      <c r="E9" s="265" t="s">
        <v>189</v>
      </c>
      <c r="F9" s="265" t="s">
        <v>189</v>
      </c>
      <c r="G9" s="265" t="s">
        <v>189</v>
      </c>
    </row>
    <row r="10" spans="1:7" ht="25.5">
      <c r="A10" s="230" t="s">
        <v>123</v>
      </c>
      <c r="B10" s="231" t="s">
        <v>204</v>
      </c>
      <c r="C10" s="232" t="s">
        <v>235</v>
      </c>
      <c r="D10" s="233" t="s">
        <v>188</v>
      </c>
      <c r="E10" s="231">
        <v>1</v>
      </c>
      <c r="F10" s="231" t="s">
        <v>103</v>
      </c>
      <c r="G10" s="265" t="s">
        <v>189</v>
      </c>
    </row>
    <row r="11" spans="1:7">
      <c r="A11" s="230" t="s">
        <v>124</v>
      </c>
      <c r="B11" s="231" t="s">
        <v>204</v>
      </c>
      <c r="C11" s="232" t="s">
        <v>236</v>
      </c>
      <c r="D11" s="233" t="s">
        <v>187</v>
      </c>
      <c r="E11" s="231">
        <v>1</v>
      </c>
      <c r="F11" s="231" t="s">
        <v>103</v>
      </c>
      <c r="G11" s="265" t="s">
        <v>189</v>
      </c>
    </row>
    <row r="12" spans="1:7" ht="26.25" customHeight="1">
      <c r="A12" s="230" t="s">
        <v>136</v>
      </c>
      <c r="B12" s="231" t="s">
        <v>204</v>
      </c>
      <c r="C12" s="232" t="s">
        <v>117</v>
      </c>
      <c r="D12" s="233" t="s">
        <v>141</v>
      </c>
      <c r="E12" s="231">
        <v>2</v>
      </c>
      <c r="F12" s="231" t="s">
        <v>118</v>
      </c>
      <c r="G12" s="265" t="s">
        <v>189</v>
      </c>
    </row>
    <row r="13" spans="1:7" ht="38.25">
      <c r="A13" s="230" t="s">
        <v>137</v>
      </c>
      <c r="B13" s="231" t="s">
        <v>204</v>
      </c>
      <c r="C13" s="234" t="s">
        <v>139</v>
      </c>
      <c r="D13" s="233" t="s">
        <v>142</v>
      </c>
      <c r="E13" s="231">
        <v>3</v>
      </c>
      <c r="F13" s="231" t="s">
        <v>118</v>
      </c>
      <c r="G13" s="265" t="s">
        <v>189</v>
      </c>
    </row>
    <row r="14" spans="1:7" ht="25.5">
      <c r="A14" s="230" t="s">
        <v>138</v>
      </c>
      <c r="B14" s="231" t="s">
        <v>113</v>
      </c>
      <c r="C14" s="232" t="s">
        <v>84</v>
      </c>
      <c r="D14" s="233" t="s">
        <v>127</v>
      </c>
      <c r="E14" s="231">
        <v>5.0999999999999996</v>
      </c>
      <c r="F14" s="265" t="s">
        <v>189</v>
      </c>
      <c r="G14" s="265" t="s">
        <v>189</v>
      </c>
    </row>
    <row r="15" spans="1:7" ht="38.25">
      <c r="A15" s="230" t="s">
        <v>202</v>
      </c>
      <c r="B15" s="231" t="s">
        <v>113</v>
      </c>
      <c r="C15" s="232" t="s">
        <v>100</v>
      </c>
      <c r="D15" s="233" t="s">
        <v>128</v>
      </c>
      <c r="E15" s="231">
        <v>5.4</v>
      </c>
      <c r="F15" s="265" t="s">
        <v>189</v>
      </c>
      <c r="G15" s="265" t="s">
        <v>189</v>
      </c>
    </row>
    <row r="16" spans="1:7" ht="25.5">
      <c r="A16" s="230" t="s">
        <v>203</v>
      </c>
      <c r="B16" s="231" t="s">
        <v>113</v>
      </c>
      <c r="C16" s="232" t="s">
        <v>110</v>
      </c>
      <c r="D16" s="233" t="s">
        <v>129</v>
      </c>
      <c r="E16" s="231">
        <v>5.5</v>
      </c>
      <c r="F16" s="265" t="s">
        <v>189</v>
      </c>
      <c r="G16" s="265" t="s">
        <v>189</v>
      </c>
    </row>
    <row r="17" spans="1:7" ht="25.5">
      <c r="A17" s="230" t="s">
        <v>224</v>
      </c>
      <c r="B17" s="231" t="s">
        <v>113</v>
      </c>
      <c r="C17" s="234" t="str">
        <f>'D4'!B2</f>
        <v>Level of Adoption of NAPEE "Best Practices" (Issue #8)</v>
      </c>
      <c r="D17" s="233" t="s">
        <v>273</v>
      </c>
      <c r="E17" s="265" t="s">
        <v>189</v>
      </c>
      <c r="F17" s="265" t="s">
        <v>189</v>
      </c>
      <c r="G17" s="265" t="s">
        <v>189</v>
      </c>
    </row>
    <row r="18" spans="1:7">
      <c r="A18" s="230" t="s">
        <v>201</v>
      </c>
      <c r="B18" s="231" t="s">
        <v>114</v>
      </c>
      <c r="C18" s="232" t="s">
        <v>237</v>
      </c>
      <c r="D18" s="233" t="s">
        <v>143</v>
      </c>
      <c r="E18" s="265" t="s">
        <v>189</v>
      </c>
      <c r="F18" s="231" t="s">
        <v>118</v>
      </c>
      <c r="G18" s="265" t="s">
        <v>189</v>
      </c>
    </row>
    <row r="19" spans="1:7">
      <c r="E19" s="179"/>
      <c r="F19" s="179"/>
    </row>
  </sheetData>
  <phoneticPr fontId="19" type="noConversion"/>
  <hyperlinks>
    <hyperlink ref="A5" location="'A1'!A1" display="A1"/>
    <hyperlink ref="A6" location="'A2'!A1" display="A2"/>
    <hyperlink ref="A8" location="'B2'!A1" display="B2"/>
    <hyperlink ref="A9" location="'B3'!A1" display="B3"/>
    <hyperlink ref="A12" location="'C3'!A1" display="C3"/>
    <hyperlink ref="A13" location="'C4'!A1" display="C4"/>
    <hyperlink ref="A14" location="'D1'!A1" display="D1"/>
    <hyperlink ref="A15" location="'D2'!A1" display="D2"/>
    <hyperlink ref="A16" location="'D3'!A1" display="D3"/>
    <hyperlink ref="A18" location="'E1'!A1" display="E1"/>
    <hyperlink ref="A7" location="'B1'!A1" display="B1"/>
    <hyperlink ref="A10" location="'C1'!A1" display="C1"/>
    <hyperlink ref="A11" location="'C2'!A1" display="C2"/>
    <hyperlink ref="A17" location="'D4'!A1" display="D4"/>
  </hyperlinks>
  <printOptions horizontalCentered="1"/>
  <pageMargins left="0.5" right="0.5" top="0.5" bottom="0.5" header="0.5" footer="0.5"/>
  <pageSetup scale="87" orientation="landscape" r:id="rId1"/>
  <headerFooter alignWithMargins="0">
    <oddFooter>&amp;L&amp;A&amp;C&amp;P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50"/>
    <pageSetUpPr fitToPage="1"/>
  </sheetPr>
  <dimension ref="B1:S74"/>
  <sheetViews>
    <sheetView topLeftCell="A35" zoomScaleNormal="100" workbookViewId="0">
      <selection activeCell="B7" sqref="B7:S27"/>
    </sheetView>
  </sheetViews>
  <sheetFormatPr defaultRowHeight="16.5" customHeight="1"/>
  <cols>
    <col min="1" max="1" width="0.85546875" customWidth="1"/>
    <col min="2" max="2" width="25.7109375" customWidth="1"/>
    <col min="3" max="3" width="0.85546875" customWidth="1"/>
    <col min="4" max="4" width="8.28515625" customWidth="1"/>
    <col min="5" max="6" width="9.85546875" customWidth="1"/>
    <col min="7" max="7" width="8.28515625" customWidth="1"/>
    <col min="8" max="8" width="0.85546875" customWidth="1"/>
    <col min="9" max="9" width="8.28515625" customWidth="1"/>
    <col min="10" max="11" width="9.85546875" customWidth="1"/>
    <col min="12" max="12" width="8.28515625" customWidth="1"/>
    <col min="13" max="13" width="0.85546875" customWidth="1"/>
    <col min="14" max="14" width="8.28515625" customWidth="1"/>
    <col min="15" max="16" width="9.85546875" customWidth="1"/>
    <col min="17" max="17" width="8.28515625" customWidth="1"/>
    <col min="18" max="18" width="0.85546875" customWidth="1"/>
    <col min="19" max="19" width="10.7109375" customWidth="1"/>
  </cols>
  <sheetData>
    <row r="1" spans="2:19" ht="23.25" customHeight="1">
      <c r="B1" s="805" t="str">
        <f>'A1'!C4</f>
        <v>Oklahoma Gas &amp; Electric Company</v>
      </c>
      <c r="C1" s="806"/>
      <c r="D1" s="806"/>
      <c r="E1" s="806"/>
      <c r="F1" s="806"/>
      <c r="G1" s="806"/>
      <c r="H1" s="806"/>
      <c r="I1" s="806"/>
      <c r="J1" s="806"/>
      <c r="K1" s="806"/>
      <c r="L1" s="806"/>
      <c r="M1" s="806"/>
      <c r="N1" s="806"/>
      <c r="O1" s="806"/>
      <c r="P1" s="806"/>
      <c r="Q1" s="806"/>
      <c r="R1" s="806"/>
      <c r="S1" s="807"/>
    </row>
    <row r="2" spans="2:19" ht="23.25" customHeight="1">
      <c r="B2" s="901" t="str">
        <f>'A1'!C5</f>
        <v>07-075-TF</v>
      </c>
      <c r="C2" s="902"/>
      <c r="D2" s="902"/>
      <c r="E2" s="902"/>
      <c r="F2" s="902"/>
      <c r="G2" s="902"/>
      <c r="H2" s="902"/>
      <c r="I2" s="902"/>
      <c r="J2" s="902"/>
      <c r="K2" s="902"/>
      <c r="L2" s="902"/>
      <c r="M2" s="902"/>
      <c r="N2" s="902"/>
      <c r="O2" s="902"/>
      <c r="P2" s="902"/>
      <c r="Q2" s="902"/>
      <c r="R2" s="902"/>
      <c r="S2" s="903"/>
    </row>
    <row r="3" spans="2:19" ht="23.25" customHeight="1">
      <c r="B3" s="808" t="s">
        <v>117</v>
      </c>
      <c r="C3" s="809"/>
      <c r="D3" s="809"/>
      <c r="E3" s="809"/>
      <c r="F3" s="809"/>
      <c r="G3" s="809"/>
      <c r="H3" s="809"/>
      <c r="I3" s="809"/>
      <c r="J3" s="809"/>
      <c r="K3" s="809"/>
      <c r="L3" s="809"/>
      <c r="M3" s="809"/>
      <c r="N3" s="809"/>
      <c r="O3" s="809"/>
      <c r="P3" s="809"/>
      <c r="Q3" s="809"/>
      <c r="R3" s="809"/>
      <c r="S3" s="810"/>
    </row>
    <row r="4" spans="2:19" ht="16.5" customHeight="1">
      <c r="B4" s="198"/>
      <c r="C4" s="198"/>
      <c r="D4" s="198"/>
      <c r="E4" s="198"/>
      <c r="F4" s="198"/>
      <c r="G4" s="198"/>
      <c r="H4" s="198"/>
      <c r="I4" s="198"/>
      <c r="J4" s="198"/>
      <c r="K4" s="198"/>
      <c r="L4" s="198"/>
      <c r="M4" s="198"/>
      <c r="N4" s="198"/>
      <c r="O4" s="198"/>
      <c r="P4" s="198"/>
      <c r="Q4" s="198"/>
    </row>
    <row r="5" spans="2:19" ht="23.25">
      <c r="B5" s="904" t="s">
        <v>115</v>
      </c>
      <c r="C5" s="905"/>
      <c r="D5" s="905"/>
      <c r="E5" s="905"/>
      <c r="F5" s="905"/>
      <c r="G5" s="905"/>
      <c r="H5" s="905"/>
      <c r="I5" s="905"/>
      <c r="J5" s="905"/>
      <c r="K5" s="905"/>
      <c r="L5" s="905"/>
      <c r="M5" s="905"/>
      <c r="N5" s="905"/>
      <c r="O5" s="905"/>
      <c r="P5" s="905"/>
      <c r="Q5" s="905"/>
      <c r="R5" s="905"/>
      <c r="S5" s="906"/>
    </row>
    <row r="6" spans="2:19" ht="16.5" customHeight="1" thickBot="1">
      <c r="B6" s="9"/>
      <c r="C6" s="9"/>
      <c r="D6" s="9"/>
      <c r="E6" s="9"/>
      <c r="F6" s="9"/>
      <c r="G6" s="9"/>
      <c r="H6" s="9"/>
      <c r="I6" s="9"/>
      <c r="J6" s="9"/>
      <c r="K6" s="9"/>
      <c r="L6" s="9"/>
      <c r="M6" s="9"/>
      <c r="N6" s="9"/>
      <c r="O6" s="9"/>
      <c r="P6" s="9"/>
      <c r="Q6" s="9"/>
    </row>
    <row r="7" spans="2:19" ht="16.5" customHeight="1" thickBot="1">
      <c r="B7" s="213" t="s">
        <v>23</v>
      </c>
      <c r="C7" s="214"/>
      <c r="D7" s="895">
        <f>I7-1</f>
        <v>2008</v>
      </c>
      <c r="E7" s="896"/>
      <c r="F7" s="896"/>
      <c r="G7" s="897"/>
      <c r="H7" s="214"/>
      <c r="I7" s="895">
        <f>N7-1</f>
        <v>2009</v>
      </c>
      <c r="J7" s="896"/>
      <c r="K7" s="896"/>
      <c r="L7" s="897"/>
      <c r="M7" s="215"/>
      <c r="N7" s="895">
        <f>'A1'!C3</f>
        <v>2010</v>
      </c>
      <c r="O7" s="896"/>
      <c r="P7" s="896"/>
      <c r="Q7" s="897"/>
      <c r="R7" s="407"/>
      <c r="S7" s="408">
        <f>N7+1</f>
        <v>2011</v>
      </c>
    </row>
    <row r="8" spans="2:19" ht="16.5" customHeight="1">
      <c r="B8" s="409"/>
      <c r="C8" s="21"/>
      <c r="D8" s="125"/>
      <c r="E8" s="59"/>
      <c r="F8" s="60"/>
      <c r="G8" s="2"/>
      <c r="H8" s="21"/>
      <c r="I8" s="125"/>
      <c r="J8" s="59"/>
      <c r="K8" s="60"/>
      <c r="L8" s="2"/>
      <c r="M8" s="23"/>
      <c r="N8" s="125"/>
      <c r="O8" s="59"/>
      <c r="P8" s="60"/>
      <c r="Q8" s="2"/>
      <c r="R8" s="73"/>
      <c r="S8" s="203"/>
    </row>
    <row r="9" spans="2:19" ht="16.5" customHeight="1">
      <c r="B9" s="204"/>
      <c r="C9" s="21"/>
      <c r="D9" s="127" t="s">
        <v>25</v>
      </c>
      <c r="E9" s="6" t="s">
        <v>12</v>
      </c>
      <c r="F9" s="7" t="s">
        <v>24</v>
      </c>
      <c r="G9" s="127" t="s">
        <v>25</v>
      </c>
      <c r="H9" s="21"/>
      <c r="I9" s="127" t="s">
        <v>25</v>
      </c>
      <c r="J9" s="6" t="s">
        <v>12</v>
      </c>
      <c r="K9" s="7" t="s">
        <v>24</v>
      </c>
      <c r="L9" s="127" t="s">
        <v>25</v>
      </c>
      <c r="M9" s="23"/>
      <c r="N9" s="127" t="s">
        <v>25</v>
      </c>
      <c r="O9" s="6" t="s">
        <v>12</v>
      </c>
      <c r="P9" s="7" t="s">
        <v>24</v>
      </c>
      <c r="Q9" s="127" t="s">
        <v>25</v>
      </c>
      <c r="R9" s="73"/>
      <c r="S9" s="239" t="s">
        <v>12</v>
      </c>
    </row>
    <row r="10" spans="2:19" ht="16.5" customHeight="1" thickBot="1">
      <c r="B10" s="275" t="s">
        <v>26</v>
      </c>
      <c r="C10" s="23"/>
      <c r="D10" s="414" t="s">
        <v>27</v>
      </c>
      <c r="E10" s="280" t="s">
        <v>195</v>
      </c>
      <c r="F10" s="282" t="s">
        <v>195</v>
      </c>
      <c r="G10" s="128" t="s">
        <v>29</v>
      </c>
      <c r="H10" s="23"/>
      <c r="I10" s="414" t="s">
        <v>27</v>
      </c>
      <c r="J10" s="280" t="s">
        <v>195</v>
      </c>
      <c r="K10" s="282" t="s">
        <v>195</v>
      </c>
      <c r="L10" s="128" t="s">
        <v>29</v>
      </c>
      <c r="M10" s="23"/>
      <c r="N10" s="414" t="s">
        <v>27</v>
      </c>
      <c r="O10" s="280" t="s">
        <v>195</v>
      </c>
      <c r="P10" s="282" t="s">
        <v>195</v>
      </c>
      <c r="Q10" s="128" t="s">
        <v>29</v>
      </c>
      <c r="R10" s="73"/>
      <c r="S10" s="410" t="s">
        <v>195</v>
      </c>
    </row>
    <row r="11" spans="2:19" ht="16.5" customHeight="1">
      <c r="B11" s="204" t="str">
        <f ca="1">'A2'!A9</f>
        <v>Weatherization</v>
      </c>
      <c r="C11" s="22"/>
      <c r="D11" s="722" t="s">
        <v>189</v>
      </c>
      <c r="E11" s="62">
        <f>'A2'!D9</f>
        <v>137410</v>
      </c>
      <c r="F11" s="62">
        <f>'A2'!E9</f>
        <v>48157</v>
      </c>
      <c r="G11" s="144">
        <f t="shared" ref="G11:G27" si="0">IF(ISERROR(F11/E11),"-",(F11/E11))</f>
        <v>0.35046212066079618</v>
      </c>
      <c r="H11" s="199"/>
      <c r="I11" s="61">
        <f>IF(ISERROR(J11/E11),"-",(J11/E11))</f>
        <v>1</v>
      </c>
      <c r="J11" s="62">
        <f>'A2'!F9</f>
        <v>137410</v>
      </c>
      <c r="K11" s="62">
        <f>'A2'!G9</f>
        <v>117776</v>
      </c>
      <c r="L11" s="144">
        <f t="shared" ref="L11:L27" si="1">IF(ISERROR(K11/J11),"-",(K11/J11))</f>
        <v>0.85711374717997235</v>
      </c>
      <c r="M11" s="145"/>
      <c r="N11" s="61">
        <f t="shared" ref="N11:N27" ca="1" si="2">IF(ISERROR(O11/J11),"-",(O11/J11))</f>
        <v>8.2199257695946439</v>
      </c>
      <c r="O11" s="62">
        <f ca="1">'A2'!H9</f>
        <v>1129500</v>
      </c>
      <c r="P11" s="62">
        <f ca="1">'A2'!I9</f>
        <v>1103808.42</v>
      </c>
      <c r="Q11" s="144">
        <f t="shared" ref="Q11:Q27" ca="1" si="3">IF(ISERROR(P11/O11),"-",(P11/O11))</f>
        <v>0.97725402390438243</v>
      </c>
      <c r="R11" s="73"/>
      <c r="S11" s="411">
        <f ca="1">'A2'!J9</f>
        <v>0</v>
      </c>
    </row>
    <row r="12" spans="2:19" ht="16.5" customHeight="1">
      <c r="B12" s="206" t="str">
        <f ca="1">'A2'!A10</f>
        <v>Living Wise</v>
      </c>
      <c r="C12" s="22"/>
      <c r="D12" s="722" t="s">
        <v>189</v>
      </c>
      <c r="E12" s="62">
        <f>'A2'!D10</f>
        <v>37213</v>
      </c>
      <c r="F12" s="62">
        <f>'A2'!E10</f>
        <v>45939</v>
      </c>
      <c r="G12" s="58">
        <f t="shared" si="0"/>
        <v>1.2344879477601913</v>
      </c>
      <c r="H12" s="199"/>
      <c r="I12" s="57">
        <f t="shared" ref="I12:I27" si="4">IF(ISERROR(J12/E12),"-",(J12/E12))</f>
        <v>1</v>
      </c>
      <c r="J12" s="62">
        <f>'A2'!F10</f>
        <v>37213</v>
      </c>
      <c r="K12" s="62">
        <f>'A2'!G10</f>
        <v>34135</v>
      </c>
      <c r="L12" s="58">
        <f t="shared" si="1"/>
        <v>0.91728696960739531</v>
      </c>
      <c r="M12" s="145"/>
      <c r="N12" s="57">
        <f t="shared" ca="1" si="2"/>
        <v>1.6392121032972349</v>
      </c>
      <c r="O12" s="62">
        <f ca="1">'A2'!H10</f>
        <v>61000</v>
      </c>
      <c r="P12" s="62">
        <f ca="1">'A2'!I10</f>
        <v>49404.77</v>
      </c>
      <c r="Q12" s="58">
        <f t="shared" ca="1" si="3"/>
        <v>0.8099142622950819</v>
      </c>
      <c r="R12" s="73"/>
      <c r="S12" s="412">
        <f ca="1">'A2'!J10</f>
        <v>0</v>
      </c>
    </row>
    <row r="13" spans="2:19" ht="16.5" customHeight="1">
      <c r="B13" s="206" t="str">
        <f ca="1">'A2'!A11</f>
        <v>CER</v>
      </c>
      <c r="C13" s="22"/>
      <c r="D13" s="722" t="s">
        <v>189</v>
      </c>
      <c r="E13" s="62">
        <f>'A2'!D11</f>
        <v>53000</v>
      </c>
      <c r="F13" s="62">
        <f>'A2'!E11</f>
        <v>70346</v>
      </c>
      <c r="G13" s="58">
        <f t="shared" si="0"/>
        <v>1.3272830188679245</v>
      </c>
      <c r="H13" s="199"/>
      <c r="I13" s="57">
        <f t="shared" si="4"/>
        <v>1</v>
      </c>
      <c r="J13" s="62">
        <f>'A2'!F11</f>
        <v>53000</v>
      </c>
      <c r="K13" s="62">
        <f>'A2'!G11</f>
        <v>23244</v>
      </c>
      <c r="L13" s="58">
        <f t="shared" si="1"/>
        <v>0.43856603773584907</v>
      </c>
      <c r="M13" s="145"/>
      <c r="N13" s="57">
        <f t="shared" ca="1" si="2"/>
        <v>0.13207547169811321</v>
      </c>
      <c r="O13" s="62">
        <f ca="1">'A2'!H11</f>
        <v>7000</v>
      </c>
      <c r="P13" s="62">
        <f ca="1">'A2'!I11</f>
        <v>60.87</v>
      </c>
      <c r="Q13" s="58">
        <f t="shared" ca="1" si="3"/>
        <v>8.6957142857142858E-3</v>
      </c>
      <c r="R13" s="73"/>
      <c r="S13" s="412">
        <f ca="1">'A2'!J11</f>
        <v>0</v>
      </c>
    </row>
    <row r="14" spans="2:19" ht="16.5" customHeight="1">
      <c r="B14" s="206" t="str">
        <f ca="1">'A2'!A12</f>
        <v>Commercial Lighting</v>
      </c>
      <c r="C14" s="22"/>
      <c r="D14" s="722" t="s">
        <v>189</v>
      </c>
      <c r="E14" s="62">
        <f>'A2'!D12</f>
        <v>54482</v>
      </c>
      <c r="F14" s="62">
        <f>'A2'!E12</f>
        <v>46513</v>
      </c>
      <c r="G14" s="58">
        <f t="shared" si="0"/>
        <v>0.85373150765390404</v>
      </c>
      <c r="H14" s="199"/>
      <c r="I14" s="57">
        <f t="shared" si="4"/>
        <v>1</v>
      </c>
      <c r="J14" s="62">
        <f>'A2'!F12</f>
        <v>54482</v>
      </c>
      <c r="K14" s="62">
        <f>'A2'!G12</f>
        <v>81963</v>
      </c>
      <c r="L14" s="58">
        <f t="shared" si="1"/>
        <v>1.5044051246283177</v>
      </c>
      <c r="M14" s="145"/>
      <c r="N14" s="57">
        <f t="shared" ca="1" si="2"/>
        <v>1.0175837891413677</v>
      </c>
      <c r="O14" s="62">
        <f ca="1">'A2'!H12</f>
        <v>55440</v>
      </c>
      <c r="P14" s="62">
        <f ca="1">'A2'!I12</f>
        <v>38104.33</v>
      </c>
      <c r="Q14" s="58">
        <f t="shared" ca="1" si="3"/>
        <v>0.68730753968253966</v>
      </c>
      <c r="R14" s="73"/>
      <c r="S14" s="412">
        <f ca="1">'A2'!J12</f>
        <v>0</v>
      </c>
    </row>
    <row r="15" spans="2:19" ht="16.5" customHeight="1">
      <c r="B15" s="206" t="str">
        <f ca="1">'A2'!A13</f>
        <v>Commercial Motors</v>
      </c>
      <c r="C15" s="22"/>
      <c r="D15" s="722" t="s">
        <v>189</v>
      </c>
      <c r="E15" s="62">
        <f>'A2'!D13</f>
        <v>65550</v>
      </c>
      <c r="F15" s="62">
        <f>'A2'!E13</f>
        <v>51276</v>
      </c>
      <c r="G15" s="58">
        <f t="shared" si="0"/>
        <v>0.7822425629290618</v>
      </c>
      <c r="H15" s="199"/>
      <c r="I15" s="57">
        <f t="shared" si="4"/>
        <v>1</v>
      </c>
      <c r="J15" s="62">
        <f>'A2'!F13</f>
        <v>65550</v>
      </c>
      <c r="K15" s="62">
        <f>'A2'!G13</f>
        <v>44600</v>
      </c>
      <c r="L15" s="58">
        <f t="shared" si="1"/>
        <v>0.6803966437833715</v>
      </c>
      <c r="M15" s="145"/>
      <c r="N15" s="57">
        <f t="shared" ca="1" si="2"/>
        <v>0.11441647597254005</v>
      </c>
      <c r="O15" s="62">
        <f ca="1">'A2'!H13</f>
        <v>7500</v>
      </c>
      <c r="P15" s="62">
        <f ca="1">'A2'!I13</f>
        <v>11243.93</v>
      </c>
      <c r="Q15" s="58">
        <f t="shared" ca="1" si="3"/>
        <v>1.4991906666666668</v>
      </c>
      <c r="R15" s="73"/>
      <c r="S15" s="412">
        <f ca="1">'A2'!J13</f>
        <v>0</v>
      </c>
    </row>
    <row r="16" spans="2:19" ht="16.5" customHeight="1">
      <c r="B16" s="206" t="str">
        <f ca="1">'A2'!A14</f>
        <v xml:space="preserve">Energy Efficiency Arkansas (Collaborative) </v>
      </c>
      <c r="C16" s="22"/>
      <c r="D16" s="722" t="s">
        <v>189</v>
      </c>
      <c r="E16" s="62">
        <f>'A2'!D14</f>
        <v>8600</v>
      </c>
      <c r="F16" s="62">
        <f>'A2'!E14</f>
        <v>55062</v>
      </c>
      <c r="G16" s="58">
        <f t="shared" si="0"/>
        <v>6.4025581395348841</v>
      </c>
      <c r="H16" s="199"/>
      <c r="I16" s="57">
        <f t="shared" si="4"/>
        <v>5.1111627906976747</v>
      </c>
      <c r="J16" s="62">
        <f>'A2'!F14</f>
        <v>43956</v>
      </c>
      <c r="K16" s="62">
        <f>'A2'!G14</f>
        <v>50267</v>
      </c>
      <c r="L16" s="58">
        <f t="shared" si="1"/>
        <v>1.1435753935753936</v>
      </c>
      <c r="M16" s="145"/>
      <c r="N16" s="57">
        <f t="shared" ca="1" si="2"/>
        <v>0.72902447902447898</v>
      </c>
      <c r="O16" s="62">
        <f ca="1">'A2'!H14</f>
        <v>32045</v>
      </c>
      <c r="P16" s="62">
        <f ca="1">'A2'!I14</f>
        <v>30950.14</v>
      </c>
      <c r="Q16" s="58">
        <f t="shared" ca="1" si="3"/>
        <v>0.96583367139959431</v>
      </c>
      <c r="R16" s="73"/>
      <c r="S16" s="412">
        <f ca="1">'A2'!J14</f>
        <v>0</v>
      </c>
    </row>
    <row r="17" spans="2:19" ht="16.5" customHeight="1">
      <c r="B17" s="206" t="str">
        <f ca="1">'A2'!A15</f>
        <v>CFL's (Quick Start ONLY)</v>
      </c>
      <c r="C17" s="22"/>
      <c r="D17" s="57" t="str">
        <f>IF(ISERROR(E17/'A2'!C15),"-",(E17/'A2'!C15))</f>
        <v>-</v>
      </c>
      <c r="E17" s="62">
        <f>'A2'!D15</f>
        <v>28893</v>
      </c>
      <c r="F17" s="62">
        <f>'A2'!E15</f>
        <v>5426</v>
      </c>
      <c r="G17" s="58">
        <f t="shared" si="0"/>
        <v>0.18779635205759179</v>
      </c>
      <c r="H17" s="199"/>
      <c r="I17" s="57">
        <f t="shared" si="4"/>
        <v>1</v>
      </c>
      <c r="J17" s="62">
        <f>'A2'!F15</f>
        <v>28893</v>
      </c>
      <c r="K17" s="62">
        <f>'A2'!G15</f>
        <v>339</v>
      </c>
      <c r="L17" s="58">
        <f t="shared" si="1"/>
        <v>1.1732945696189389E-2</v>
      </c>
      <c r="M17" s="145"/>
      <c r="N17" s="57">
        <f t="shared" ca="1" si="2"/>
        <v>0</v>
      </c>
      <c r="O17" s="62">
        <f ca="1">'A2'!H15</f>
        <v>0</v>
      </c>
      <c r="P17" s="62">
        <f ca="1">'A2'!I15</f>
        <v>0</v>
      </c>
      <c r="Q17" s="58" t="str">
        <f t="shared" ca="1" si="3"/>
        <v>-</v>
      </c>
      <c r="R17" s="73"/>
      <c r="S17" s="412">
        <f ca="1">'A2'!J15</f>
        <v>0</v>
      </c>
    </row>
    <row r="18" spans="2:19" ht="16.5" hidden="1" customHeight="1">
      <c r="B18" s="206" t="str">
        <f ca="1">'A2'!A16</f>
        <v xml:space="preserve">AWP Weatherization </v>
      </c>
      <c r="C18" s="22"/>
      <c r="D18" s="57" t="str">
        <f>IF(ISERROR(E18/'A2'!C16),"-",(E18/'A2'!C16))</f>
        <v>-</v>
      </c>
      <c r="E18" s="62">
        <f>'A2'!D16</f>
        <v>0</v>
      </c>
      <c r="F18" s="62">
        <f>'A2'!E16</f>
        <v>0</v>
      </c>
      <c r="G18" s="58" t="str">
        <f t="shared" si="0"/>
        <v>-</v>
      </c>
      <c r="H18" s="199"/>
      <c r="I18" s="57" t="str">
        <f t="shared" si="4"/>
        <v>-</v>
      </c>
      <c r="J18" s="62">
        <f>'A2'!F16</f>
        <v>0</v>
      </c>
      <c r="K18" s="62">
        <f>'A2'!G16</f>
        <v>0</v>
      </c>
      <c r="L18" s="58" t="str">
        <f t="shared" si="1"/>
        <v>-</v>
      </c>
      <c r="M18" s="145"/>
      <c r="N18" s="57" t="str">
        <f t="shared" ca="1" si="2"/>
        <v>-</v>
      </c>
      <c r="O18" s="62">
        <f ca="1">'A2'!H16</f>
        <v>72000</v>
      </c>
      <c r="P18" s="62">
        <f ca="1">'A2'!I16</f>
        <v>44927.62</v>
      </c>
      <c r="Q18" s="58">
        <f t="shared" ca="1" si="3"/>
        <v>0.6239947222222223</v>
      </c>
      <c r="R18" s="73"/>
      <c r="S18" s="412">
        <f ca="1">'A2'!J16</f>
        <v>0</v>
      </c>
    </row>
    <row r="19" spans="2:19" ht="16.5" hidden="1" customHeight="1">
      <c r="B19" s="206" t="str">
        <f ca="1">'A2'!A17</f>
        <v>Program 9</v>
      </c>
      <c r="C19" s="22"/>
      <c r="D19" s="57" t="str">
        <f>IF(ISERROR(E19/'A2'!C17),"-",(E19/'A2'!C17))</f>
        <v>-</v>
      </c>
      <c r="E19" s="62">
        <f>'A2'!D17</f>
        <v>0</v>
      </c>
      <c r="F19" s="62">
        <f>'A2'!E17</f>
        <v>0</v>
      </c>
      <c r="G19" s="58" t="str">
        <f t="shared" si="0"/>
        <v>-</v>
      </c>
      <c r="H19" s="199"/>
      <c r="I19" s="57" t="str">
        <f t="shared" si="4"/>
        <v>-</v>
      </c>
      <c r="J19" s="62">
        <f>'A2'!F17</f>
        <v>0</v>
      </c>
      <c r="K19" s="62">
        <f>'A2'!G17</f>
        <v>0</v>
      </c>
      <c r="L19" s="58" t="str">
        <f t="shared" si="1"/>
        <v>-</v>
      </c>
      <c r="M19" s="145"/>
      <c r="N19" s="57" t="str">
        <f t="shared" ca="1" si="2"/>
        <v>-</v>
      </c>
      <c r="O19" s="62">
        <f ca="1">'A2'!H17</f>
        <v>0</v>
      </c>
      <c r="P19" s="62">
        <f ca="1">'A2'!I17</f>
        <v>0</v>
      </c>
      <c r="Q19" s="58" t="str">
        <f t="shared" ca="1" si="3"/>
        <v>-</v>
      </c>
      <c r="R19" s="73"/>
      <c r="S19" s="412">
        <f ca="1">'A2'!J17</f>
        <v>0</v>
      </c>
    </row>
    <row r="20" spans="2:19" ht="16.5" hidden="1" customHeight="1">
      <c r="B20" s="206" t="str">
        <f ca="1">'A2'!A18</f>
        <v>Program 10</v>
      </c>
      <c r="C20" s="22"/>
      <c r="D20" s="57" t="str">
        <f>IF(ISERROR(E20/'A2'!C18),"-",(E20/'A2'!C18))</f>
        <v>-</v>
      </c>
      <c r="E20" s="62">
        <f>'A2'!D18</f>
        <v>0</v>
      </c>
      <c r="F20" s="62">
        <f>'A2'!E18</f>
        <v>0</v>
      </c>
      <c r="G20" s="58" t="str">
        <f t="shared" si="0"/>
        <v>-</v>
      </c>
      <c r="H20" s="199"/>
      <c r="I20" s="57" t="str">
        <f t="shared" si="4"/>
        <v>-</v>
      </c>
      <c r="J20" s="62">
        <f>'A2'!F18</f>
        <v>0</v>
      </c>
      <c r="K20" s="62">
        <f>'A2'!G18</f>
        <v>0</v>
      </c>
      <c r="L20" s="58" t="str">
        <f t="shared" si="1"/>
        <v>-</v>
      </c>
      <c r="M20" s="145"/>
      <c r="N20" s="57" t="str">
        <f t="shared" ca="1" si="2"/>
        <v>-</v>
      </c>
      <c r="O20" s="62">
        <f ca="1">'A2'!H18</f>
        <v>0</v>
      </c>
      <c r="P20" s="62">
        <f ca="1">'A2'!I18</f>
        <v>0</v>
      </c>
      <c r="Q20" s="58" t="str">
        <f t="shared" ca="1" si="3"/>
        <v>-</v>
      </c>
      <c r="R20" s="73"/>
      <c r="S20" s="412">
        <f ca="1">'A2'!J18</f>
        <v>0</v>
      </c>
    </row>
    <row r="21" spans="2:19" ht="16.5" hidden="1" customHeight="1">
      <c r="B21" s="206" t="str">
        <f ca="1">'A2'!A19</f>
        <v>Program 11</v>
      </c>
      <c r="C21" s="22"/>
      <c r="D21" s="57" t="str">
        <f>IF(ISERROR(E21/'A2'!C19),"-",(E21/'A2'!C19))</f>
        <v>-</v>
      </c>
      <c r="E21" s="62">
        <f>'A2'!D19</f>
        <v>0</v>
      </c>
      <c r="F21" s="62">
        <f>'A2'!E19</f>
        <v>0</v>
      </c>
      <c r="G21" s="58" t="str">
        <f t="shared" si="0"/>
        <v>-</v>
      </c>
      <c r="H21" s="199"/>
      <c r="I21" s="57" t="str">
        <f t="shared" si="4"/>
        <v>-</v>
      </c>
      <c r="J21" s="62">
        <f>'A2'!F19</f>
        <v>0</v>
      </c>
      <c r="K21" s="62">
        <f>'A2'!G19</f>
        <v>0</v>
      </c>
      <c r="L21" s="58" t="str">
        <f t="shared" si="1"/>
        <v>-</v>
      </c>
      <c r="M21" s="145"/>
      <c r="N21" s="57" t="str">
        <f t="shared" ca="1" si="2"/>
        <v>-</v>
      </c>
      <c r="O21" s="62">
        <f ca="1">'A2'!H19</f>
        <v>0</v>
      </c>
      <c r="P21" s="62">
        <f ca="1">'A2'!I19</f>
        <v>0</v>
      </c>
      <c r="Q21" s="58" t="str">
        <f t="shared" ca="1" si="3"/>
        <v>-</v>
      </c>
      <c r="R21" s="73"/>
      <c r="S21" s="412">
        <f ca="1">'A2'!J19</f>
        <v>0</v>
      </c>
    </row>
    <row r="22" spans="2:19" ht="16.5" hidden="1" customHeight="1">
      <c r="B22" s="206" t="str">
        <f ca="1">'A2'!A20</f>
        <v>Program 12</v>
      </c>
      <c r="C22" s="22"/>
      <c r="D22" s="57" t="str">
        <f>IF(ISERROR(E22/'A2'!C20),"-",(E22/'A2'!C20))</f>
        <v>-</v>
      </c>
      <c r="E22" s="62">
        <f>'A2'!D20</f>
        <v>0</v>
      </c>
      <c r="F22" s="62">
        <f>'A2'!E20</f>
        <v>0</v>
      </c>
      <c r="G22" s="58" t="str">
        <f t="shared" si="0"/>
        <v>-</v>
      </c>
      <c r="H22" s="199"/>
      <c r="I22" s="57" t="str">
        <f t="shared" si="4"/>
        <v>-</v>
      </c>
      <c r="J22" s="62">
        <f>'A2'!F20</f>
        <v>0</v>
      </c>
      <c r="K22" s="62">
        <f>'A2'!G20</f>
        <v>0</v>
      </c>
      <c r="L22" s="58" t="str">
        <f t="shared" si="1"/>
        <v>-</v>
      </c>
      <c r="M22" s="145"/>
      <c r="N22" s="57" t="str">
        <f t="shared" ca="1" si="2"/>
        <v>-</v>
      </c>
      <c r="O22" s="62">
        <f ca="1">'A2'!H20</f>
        <v>0</v>
      </c>
      <c r="P22" s="62">
        <f ca="1">'A2'!I20</f>
        <v>0</v>
      </c>
      <c r="Q22" s="58" t="str">
        <f t="shared" ca="1" si="3"/>
        <v>-</v>
      </c>
      <c r="R22" s="73"/>
      <c r="S22" s="412">
        <f ca="1">'A2'!J20</f>
        <v>0</v>
      </c>
    </row>
    <row r="23" spans="2:19" ht="16.5" hidden="1" customHeight="1">
      <c r="B23" s="206" t="str">
        <f ca="1">'A2'!A21</f>
        <v>Program 13</v>
      </c>
      <c r="C23" s="22"/>
      <c r="D23" s="57" t="str">
        <f>IF(ISERROR(E23/'A2'!C21),"-",(E23/'A2'!C21))</f>
        <v>-</v>
      </c>
      <c r="E23" s="62">
        <f>'A2'!D21</f>
        <v>0</v>
      </c>
      <c r="F23" s="62">
        <f>'A2'!E21</f>
        <v>0</v>
      </c>
      <c r="G23" s="58" t="str">
        <f t="shared" si="0"/>
        <v>-</v>
      </c>
      <c r="H23" s="199"/>
      <c r="I23" s="57" t="str">
        <f t="shared" si="4"/>
        <v>-</v>
      </c>
      <c r="J23" s="62">
        <f>'A2'!F21</f>
        <v>0</v>
      </c>
      <c r="K23" s="62">
        <f>'A2'!G21</f>
        <v>0</v>
      </c>
      <c r="L23" s="58" t="str">
        <f t="shared" si="1"/>
        <v>-</v>
      </c>
      <c r="M23" s="145"/>
      <c r="N23" s="57" t="str">
        <f t="shared" ca="1" si="2"/>
        <v>-</v>
      </c>
      <c r="O23" s="62">
        <f ca="1">'A2'!H21</f>
        <v>0</v>
      </c>
      <c r="P23" s="62">
        <f ca="1">'A2'!I21</f>
        <v>0</v>
      </c>
      <c r="Q23" s="58" t="str">
        <f t="shared" ca="1" si="3"/>
        <v>-</v>
      </c>
      <c r="R23" s="73"/>
      <c r="S23" s="412">
        <f ca="1">'A2'!J21</f>
        <v>0</v>
      </c>
    </row>
    <row r="24" spans="2:19" ht="16.5" hidden="1" customHeight="1">
      <c r="B24" s="206" t="str">
        <f ca="1">'A2'!A22</f>
        <v>Program 14</v>
      </c>
      <c r="C24" s="22"/>
      <c r="D24" s="57" t="str">
        <f>IF(ISERROR(E24/'A2'!C22),"-",(E24/'A2'!C22))</f>
        <v>-</v>
      </c>
      <c r="E24" s="62">
        <f>'A2'!D22</f>
        <v>0</v>
      </c>
      <c r="F24" s="62">
        <f>'A2'!E22</f>
        <v>0</v>
      </c>
      <c r="G24" s="58" t="str">
        <f t="shared" si="0"/>
        <v>-</v>
      </c>
      <c r="H24" s="199"/>
      <c r="I24" s="57" t="str">
        <f t="shared" si="4"/>
        <v>-</v>
      </c>
      <c r="J24" s="62">
        <f>'A2'!F22</f>
        <v>0</v>
      </c>
      <c r="K24" s="62">
        <f>'A2'!G22</f>
        <v>0</v>
      </c>
      <c r="L24" s="58" t="str">
        <f t="shared" si="1"/>
        <v>-</v>
      </c>
      <c r="M24" s="145"/>
      <c r="N24" s="57" t="str">
        <f t="shared" ca="1" si="2"/>
        <v>-</v>
      </c>
      <c r="O24" s="62">
        <f ca="1">'A2'!H22</f>
        <v>0</v>
      </c>
      <c r="P24" s="62">
        <f ca="1">'A2'!I22</f>
        <v>0</v>
      </c>
      <c r="Q24" s="58" t="str">
        <f t="shared" ca="1" si="3"/>
        <v>-</v>
      </c>
      <c r="R24" s="73"/>
      <c r="S24" s="412">
        <f ca="1">'A2'!J22</f>
        <v>0</v>
      </c>
    </row>
    <row r="25" spans="2:19" ht="16.5" hidden="1" customHeight="1">
      <c r="B25" s="206" t="str">
        <f ca="1">'A2'!A23</f>
        <v>Program 15</v>
      </c>
      <c r="C25" s="22"/>
      <c r="D25" s="57" t="str">
        <f>IF(ISERROR(E25/'A2'!C23),"-",(E25/'A2'!C23))</f>
        <v>-</v>
      </c>
      <c r="E25" s="62">
        <f>'A2'!D23</f>
        <v>0</v>
      </c>
      <c r="F25" s="62">
        <f>'A2'!E23</f>
        <v>0</v>
      </c>
      <c r="G25" s="58" t="str">
        <f t="shared" si="0"/>
        <v>-</v>
      </c>
      <c r="H25" s="199"/>
      <c r="I25" s="57" t="str">
        <f t="shared" si="4"/>
        <v>-</v>
      </c>
      <c r="J25" s="62">
        <f>'A2'!F23</f>
        <v>0</v>
      </c>
      <c r="K25" s="62">
        <f>'A2'!G23</f>
        <v>0</v>
      </c>
      <c r="L25" s="58" t="str">
        <f t="shared" si="1"/>
        <v>-</v>
      </c>
      <c r="M25" s="145"/>
      <c r="N25" s="57" t="str">
        <f t="shared" ca="1" si="2"/>
        <v>-</v>
      </c>
      <c r="O25" s="62">
        <f ca="1">'A2'!H23</f>
        <v>0</v>
      </c>
      <c r="P25" s="62">
        <f ca="1">'A2'!I23</f>
        <v>0</v>
      </c>
      <c r="Q25" s="58" t="str">
        <f t="shared" ca="1" si="3"/>
        <v>-</v>
      </c>
      <c r="R25" s="73"/>
      <c r="S25" s="412">
        <f ca="1">'A2'!J23</f>
        <v>0</v>
      </c>
    </row>
    <row r="26" spans="2:19" ht="16.5" customHeight="1" thickBot="1">
      <c r="B26" s="205" t="str">
        <f>'A2'!A24</f>
        <v xml:space="preserve">Regulatory </v>
      </c>
      <c r="C26" s="22"/>
      <c r="D26" s="513" t="str">
        <f>IF(ISERROR(E26/'A2'!C24),"-",(E26/'A2'!C24))</f>
        <v>-</v>
      </c>
      <c r="E26" s="519">
        <f>'A2'!D24</f>
        <v>0</v>
      </c>
      <c r="F26" s="519">
        <f>'A2'!E24</f>
        <v>0</v>
      </c>
      <c r="G26" s="520" t="str">
        <f t="shared" si="0"/>
        <v>-</v>
      </c>
      <c r="H26" s="199"/>
      <c r="I26" s="513" t="str">
        <f t="shared" si="4"/>
        <v>-</v>
      </c>
      <c r="J26" s="519">
        <f>'A2'!F24</f>
        <v>0</v>
      </c>
      <c r="K26" s="519">
        <f>'A2'!G24</f>
        <v>0</v>
      </c>
      <c r="L26" s="520" t="str">
        <f t="shared" si="1"/>
        <v>-</v>
      </c>
      <c r="M26" s="145"/>
      <c r="N26" s="513" t="str">
        <f t="shared" si="2"/>
        <v>-</v>
      </c>
      <c r="O26" s="519">
        <f>'A2'!H24</f>
        <v>0</v>
      </c>
      <c r="P26" s="519">
        <f>'A2'!I24</f>
        <v>0</v>
      </c>
      <c r="Q26" s="520" t="str">
        <f t="shared" si="3"/>
        <v>-</v>
      </c>
      <c r="R26" s="73"/>
      <c r="S26" s="522">
        <f>'A2'!J24</f>
        <v>0</v>
      </c>
    </row>
    <row r="27" spans="2:19" ht="16.5" customHeight="1" thickBot="1">
      <c r="B27" s="288" t="s">
        <v>30</v>
      </c>
      <c r="C27" s="209"/>
      <c r="D27" s="723" t="s">
        <v>189</v>
      </c>
      <c r="E27" s="524">
        <f>SUM(E11:E25)</f>
        <v>385148</v>
      </c>
      <c r="F27" s="524">
        <f>SUM(F11:F25)</f>
        <v>322719</v>
      </c>
      <c r="G27" s="525">
        <f t="shared" si="0"/>
        <v>0.83790906352882533</v>
      </c>
      <c r="H27" s="210"/>
      <c r="I27" s="523">
        <f t="shared" si="4"/>
        <v>1.0917984774684018</v>
      </c>
      <c r="J27" s="524">
        <f>SUM(J11:J25)</f>
        <v>420504</v>
      </c>
      <c r="K27" s="524">
        <f>SUM(K11:K25)</f>
        <v>352324</v>
      </c>
      <c r="L27" s="525">
        <f t="shared" si="1"/>
        <v>0.83786123318684247</v>
      </c>
      <c r="M27" s="211"/>
      <c r="N27" s="523">
        <f t="shared" ca="1" si="2"/>
        <v>3.2448799535795141</v>
      </c>
      <c r="O27" s="524">
        <f ca="1">SUM(O11:O25)</f>
        <v>1364485</v>
      </c>
      <c r="P27" s="524">
        <f ca="1">SUM(P11:P25)</f>
        <v>1278500.08</v>
      </c>
      <c r="Q27" s="525">
        <f t="shared" ca="1" si="3"/>
        <v>0.93698360920054091</v>
      </c>
      <c r="R27" s="413"/>
      <c r="S27" s="526">
        <f ca="1">SUM(S11:S25)</f>
        <v>0</v>
      </c>
    </row>
    <row r="28" spans="2:19" ht="16.5" customHeight="1">
      <c r="B28" s="13"/>
      <c r="C28" s="13"/>
      <c r="D28" s="13"/>
      <c r="E28" s="13"/>
      <c r="F28" s="13"/>
      <c r="G28" s="13"/>
      <c r="H28" s="13"/>
      <c r="I28" s="13"/>
      <c r="J28" s="13"/>
      <c r="K28" s="13"/>
      <c r="L28" s="13"/>
      <c r="M28" s="13"/>
      <c r="N28" s="13"/>
      <c r="O28" s="13"/>
      <c r="P28" s="13"/>
      <c r="Q28" s="13"/>
    </row>
    <row r="29" spans="2:19" ht="16.5" customHeight="1">
      <c r="B29" s="13"/>
      <c r="C29" s="13"/>
      <c r="D29" s="13"/>
      <c r="E29" s="13"/>
      <c r="F29" s="13"/>
      <c r="G29" s="13"/>
      <c r="H29" s="13"/>
      <c r="I29" s="13"/>
      <c r="J29" s="13"/>
      <c r="K29" s="13"/>
      <c r="L29" s="13"/>
      <c r="M29" s="13"/>
      <c r="N29" s="13"/>
      <c r="O29" s="13"/>
      <c r="P29" s="13"/>
      <c r="Q29" s="13"/>
    </row>
    <row r="30" spans="2:19" ht="23.25">
      <c r="B30" s="904" t="s">
        <v>116</v>
      </c>
      <c r="C30" s="905"/>
      <c r="D30" s="905"/>
      <c r="E30" s="905"/>
      <c r="F30" s="905"/>
      <c r="G30" s="905"/>
      <c r="H30" s="905"/>
      <c r="I30" s="905"/>
      <c r="J30" s="905"/>
      <c r="K30" s="905"/>
      <c r="L30" s="905"/>
      <c r="M30" s="905"/>
      <c r="N30" s="905"/>
      <c r="O30" s="905"/>
      <c r="P30" s="905"/>
      <c r="Q30" s="905"/>
      <c r="R30" s="905"/>
      <c r="S30" s="906"/>
    </row>
    <row r="31" spans="2:19" ht="16.5" customHeight="1" thickBot="1">
      <c r="B31" s="9"/>
      <c r="C31" s="9"/>
      <c r="D31" s="9"/>
      <c r="E31" s="9"/>
      <c r="F31" s="9"/>
      <c r="G31" s="9"/>
      <c r="H31" s="9"/>
      <c r="I31" s="9"/>
      <c r="J31" s="9"/>
      <c r="K31" s="9"/>
      <c r="L31" s="9"/>
      <c r="M31" s="9"/>
      <c r="N31" s="9"/>
      <c r="O31" s="9"/>
      <c r="P31" s="9"/>
      <c r="Q31" s="9"/>
    </row>
    <row r="32" spans="2:19" ht="16.5" customHeight="1" thickBot="1">
      <c r="B32" s="213" t="s">
        <v>152</v>
      </c>
      <c r="C32" s="216"/>
      <c r="D32" s="895">
        <f>D7</f>
        <v>2008</v>
      </c>
      <c r="E32" s="896"/>
      <c r="F32" s="896"/>
      <c r="G32" s="897"/>
      <c r="H32" s="214"/>
      <c r="I32" s="895">
        <f>I7</f>
        <v>2009</v>
      </c>
      <c r="J32" s="896"/>
      <c r="K32" s="896"/>
      <c r="L32" s="897"/>
      <c r="M32" s="215"/>
      <c r="N32" s="895">
        <f>N7</f>
        <v>2010</v>
      </c>
      <c r="O32" s="896"/>
      <c r="P32" s="896"/>
      <c r="Q32" s="897"/>
      <c r="R32" s="407"/>
      <c r="S32" s="408">
        <f>N32+1</f>
        <v>2011</v>
      </c>
    </row>
    <row r="33" spans="2:19" ht="16.5" customHeight="1" thickBot="1">
      <c r="B33" s="212" t="str">
        <f>VLOOKUP('A1'!$I$4,'Pull-down list'!D2:F3,2)</f>
        <v>kWh</v>
      </c>
      <c r="C33" s="22"/>
      <c r="D33" s="753" t="s">
        <v>230</v>
      </c>
      <c r="E33" s="898" t="s">
        <v>34</v>
      </c>
      <c r="F33" s="898"/>
      <c r="G33" s="754"/>
      <c r="H33" s="22"/>
      <c r="I33" s="753" t="s">
        <v>230</v>
      </c>
      <c r="J33" s="898" t="s">
        <v>34</v>
      </c>
      <c r="K33" s="898"/>
      <c r="L33" s="754"/>
      <c r="M33" s="22"/>
      <c r="N33" s="753" t="s">
        <v>230</v>
      </c>
      <c r="O33" s="898" t="s">
        <v>34</v>
      </c>
      <c r="P33" s="898"/>
      <c r="Q33" s="754"/>
      <c r="R33" s="73"/>
      <c r="S33" s="899" t="s">
        <v>29</v>
      </c>
    </row>
    <row r="34" spans="2:19" ht="16.5" customHeight="1" thickBot="1">
      <c r="B34" s="204"/>
      <c r="C34" s="22"/>
      <c r="D34" s="126" t="s">
        <v>25</v>
      </c>
      <c r="E34" s="738" t="str">
        <f>B33</f>
        <v>kWh</v>
      </c>
      <c r="F34" s="740"/>
      <c r="G34" s="126" t="s">
        <v>25</v>
      </c>
      <c r="H34" s="22"/>
      <c r="I34" s="126" t="s">
        <v>25</v>
      </c>
      <c r="J34" s="738" t="str">
        <f>B33</f>
        <v>kWh</v>
      </c>
      <c r="K34" s="740"/>
      <c r="L34" s="126" t="s">
        <v>25</v>
      </c>
      <c r="M34" s="22"/>
      <c r="N34" s="126" t="s">
        <v>25</v>
      </c>
      <c r="O34" s="738" t="str">
        <f>B33</f>
        <v>kWh</v>
      </c>
      <c r="P34" s="740"/>
      <c r="Q34" s="126" t="s">
        <v>25</v>
      </c>
      <c r="R34" s="73"/>
      <c r="S34" s="900"/>
    </row>
    <row r="35" spans="2:19" ht="16.5" customHeight="1" thickBot="1">
      <c r="B35" s="205" t="s">
        <v>26</v>
      </c>
      <c r="C35" s="22"/>
      <c r="D35" s="415" t="s">
        <v>27</v>
      </c>
      <c r="E35" s="158" t="s">
        <v>12</v>
      </c>
      <c r="F35" s="158" t="s">
        <v>24</v>
      </c>
      <c r="G35" s="159" t="s">
        <v>29</v>
      </c>
      <c r="H35" s="23"/>
      <c r="I35" s="415" t="s">
        <v>27</v>
      </c>
      <c r="J35" s="158" t="s">
        <v>12</v>
      </c>
      <c r="K35" s="158" t="s">
        <v>24</v>
      </c>
      <c r="L35" s="159" t="s">
        <v>29</v>
      </c>
      <c r="M35" s="22"/>
      <c r="N35" s="415" t="s">
        <v>27</v>
      </c>
      <c r="O35" s="158" t="s">
        <v>12</v>
      </c>
      <c r="P35" s="158" t="s">
        <v>24</v>
      </c>
      <c r="Q35" s="159" t="s">
        <v>29</v>
      </c>
      <c r="R35" s="73"/>
      <c r="S35" s="416" t="str">
        <f>O34</f>
        <v>kWh</v>
      </c>
    </row>
    <row r="36" spans="2:19" ht="16.5" customHeight="1">
      <c r="B36" s="206" t="str">
        <f t="shared" ref="B36:B50" ca="1" si="5">B11</f>
        <v>Weatherization</v>
      </c>
      <c r="C36" s="22"/>
      <c r="D36" s="63" t="str">
        <f>IF(ISERROR(E36/'A2'!C34),"-",(E36/'A2'!C34))</f>
        <v>-</v>
      </c>
      <c r="E36" s="65">
        <f>'A2'!D34</f>
        <v>2322970</v>
      </c>
      <c r="F36" s="65">
        <f>'A2'!E34</f>
        <v>1476000</v>
      </c>
      <c r="G36" s="58">
        <f t="shared" ref="G36:G51" si="6">IF(ISERROR(F36/E36),"-",(F36/E36))</f>
        <v>0.63539348334244528</v>
      </c>
      <c r="H36" s="199"/>
      <c r="I36" s="63">
        <f t="shared" ref="I36:I51" si="7">IF(ISERROR(J36/E36),"-",(J36/E36))</f>
        <v>1.999995695166102</v>
      </c>
      <c r="J36" s="65">
        <f>'A2'!F34</f>
        <v>4645930</v>
      </c>
      <c r="K36" s="65">
        <f>'A2'!G34</f>
        <v>1845000</v>
      </c>
      <c r="L36" s="58">
        <f t="shared" ref="L36:L51" si="8">IF(ISERROR(K36/J36),"-",(K36/J36))</f>
        <v>0.39712178186068237</v>
      </c>
      <c r="M36" s="199"/>
      <c r="N36" s="63">
        <f t="shared" ref="N36:N51" ca="1" si="9">IF(ISERROR(O36/J36),"-",(O36/J36))</f>
        <v>4.3494005075410094</v>
      </c>
      <c r="O36" s="65">
        <f ca="1">'A2'!H34</f>
        <v>20207010.300000001</v>
      </c>
      <c r="P36" s="65">
        <f ca="1">'A2'!I34</f>
        <v>25934298</v>
      </c>
      <c r="Q36" s="58">
        <f t="shared" ref="Q36:Q51" ca="1" si="10">IF(ISERROR(P36/O36),"-",(P36/O36))</f>
        <v>1.2834307309676583</v>
      </c>
      <c r="R36" s="73"/>
      <c r="S36" s="417">
        <f ca="1">'A2'!J34</f>
        <v>10101989.699999999</v>
      </c>
    </row>
    <row r="37" spans="2:19" ht="16.5" customHeight="1">
      <c r="B37" s="206" t="str">
        <f t="shared" ca="1" si="5"/>
        <v>Living Wise</v>
      </c>
      <c r="C37" s="22"/>
      <c r="D37" s="56" t="str">
        <f>IF(ISERROR(E37/'A2'!C35),"-",(E37/'A2'!C35))</f>
        <v>-</v>
      </c>
      <c r="E37" s="65">
        <f>'A2'!D35</f>
        <v>1213710</v>
      </c>
      <c r="F37" s="65">
        <f>'A2'!E35</f>
        <v>3330600</v>
      </c>
      <c r="G37" s="55">
        <f t="shared" si="6"/>
        <v>2.7441481078676127</v>
      </c>
      <c r="H37" s="199"/>
      <c r="I37" s="56">
        <f t="shared" si="7"/>
        <v>2.0000082392004681</v>
      </c>
      <c r="J37" s="65">
        <f>'A2'!F35</f>
        <v>2427430</v>
      </c>
      <c r="K37" s="65">
        <f>'A2'!G35</f>
        <v>4845750</v>
      </c>
      <c r="L37" s="55">
        <f t="shared" si="8"/>
        <v>1.996247059647446</v>
      </c>
      <c r="M37" s="199"/>
      <c r="N37" s="56">
        <f t="shared" ca="1" si="9"/>
        <v>0.47656170311811247</v>
      </c>
      <c r="O37" s="65">
        <f ca="1">'A2'!H35</f>
        <v>1156820.1749999998</v>
      </c>
      <c r="P37" s="65">
        <f ca="1">'A2'!I35</f>
        <v>213681.92098496083</v>
      </c>
      <c r="Q37" s="55">
        <f t="shared" ca="1" si="10"/>
        <v>0.18471489830730248</v>
      </c>
      <c r="R37" s="73"/>
      <c r="S37" s="418">
        <f ca="1">'A2'!J35</f>
        <v>580929.82500000019</v>
      </c>
    </row>
    <row r="38" spans="2:19" ht="16.5" customHeight="1">
      <c r="B38" s="206" t="str">
        <f t="shared" ca="1" si="5"/>
        <v>CER</v>
      </c>
      <c r="C38" s="22"/>
      <c r="D38" s="56" t="str">
        <f>IF(ISERROR(E38/'A2'!C36),"-",(E38/'A2'!C36))</f>
        <v>-</v>
      </c>
      <c r="E38" s="65">
        <f>'A2'!D36</f>
        <v>6787980</v>
      </c>
      <c r="F38" s="65">
        <f>'A2'!E36</f>
        <v>7278040</v>
      </c>
      <c r="G38" s="55">
        <f t="shared" si="6"/>
        <v>1.0721952628027778</v>
      </c>
      <c r="H38" s="199"/>
      <c r="I38" s="56">
        <f t="shared" si="7"/>
        <v>1.9999985268076805</v>
      </c>
      <c r="J38" s="65">
        <f>'A2'!F36</f>
        <v>13575950</v>
      </c>
      <c r="K38" s="65">
        <f>'A2'!G36</f>
        <v>3268400</v>
      </c>
      <c r="L38" s="55">
        <f t="shared" si="8"/>
        <v>0.24074926616553538</v>
      </c>
      <c r="M38" s="199"/>
      <c r="N38" s="56">
        <f t="shared" ca="1" si="9"/>
        <v>0.12380403338256256</v>
      </c>
      <c r="O38" s="65">
        <f ca="1">'A2'!H36</f>
        <v>1680757.3670000001</v>
      </c>
      <c r="P38" s="65">
        <f ca="1">'A2'!I36</f>
        <v>178640</v>
      </c>
      <c r="Q38" s="55">
        <f t="shared" ca="1" si="10"/>
        <v>0.10628541841161539</v>
      </c>
      <c r="R38" s="73"/>
      <c r="S38" s="418">
        <f ca="1">'A2'!J36</f>
        <v>840252.63299999991</v>
      </c>
    </row>
    <row r="39" spans="2:19" ht="16.5" customHeight="1">
      <c r="B39" s="206" t="str">
        <f t="shared" ca="1" si="5"/>
        <v>Commercial Lighting</v>
      </c>
      <c r="C39" s="22"/>
      <c r="D39" s="56" t="str">
        <f>IF(ISERROR(E39/'A2'!C37),"-",(E39/'A2'!C37))</f>
        <v>-</v>
      </c>
      <c r="E39" s="65">
        <f>'A2'!D37</f>
        <v>8115290</v>
      </c>
      <c r="F39" s="65">
        <f>'A2'!E37</f>
        <v>12153940</v>
      </c>
      <c r="G39" s="55">
        <f t="shared" si="6"/>
        <v>1.497659356597238</v>
      </c>
      <c r="H39" s="199"/>
      <c r="I39" s="56">
        <f t="shared" si="7"/>
        <v>2</v>
      </c>
      <c r="J39" s="65">
        <f>'A2'!F37</f>
        <v>16230580</v>
      </c>
      <c r="K39" s="65">
        <f>'A2'!G37</f>
        <v>46061370</v>
      </c>
      <c r="L39" s="55">
        <f t="shared" si="8"/>
        <v>2.837937399649304</v>
      </c>
      <c r="M39" s="199"/>
      <c r="N39" s="56">
        <f t="shared" ca="1" si="9"/>
        <v>0.92422759999950721</v>
      </c>
      <c r="O39" s="65">
        <f ca="1">'A2'!H37</f>
        <v>15000750.000000002</v>
      </c>
      <c r="P39" s="65">
        <f ca="1">'A2'!I37</f>
        <v>14465848.2864</v>
      </c>
      <c r="Q39" s="55">
        <f t="shared" ca="1" si="10"/>
        <v>0.96434166867656601</v>
      </c>
      <c r="R39" s="73"/>
      <c r="S39" s="418">
        <f ca="1">'A2'!J37</f>
        <v>7499250</v>
      </c>
    </row>
    <row r="40" spans="2:19" ht="16.5" customHeight="1">
      <c r="B40" s="206" t="str">
        <f t="shared" ca="1" si="5"/>
        <v>Commercial Motors</v>
      </c>
      <c r="C40" s="22"/>
      <c r="D40" s="56" t="str">
        <f>IF(ISERROR(E40/'A2'!C38),"-",(E40/'A2'!C38))</f>
        <v>-</v>
      </c>
      <c r="E40" s="65">
        <f>'A2'!D38</f>
        <v>544155</v>
      </c>
      <c r="F40" s="65">
        <f>'A2'!E38</f>
        <v>163200</v>
      </c>
      <c r="G40" s="55">
        <f t="shared" si="6"/>
        <v>0.29991454640681425</v>
      </c>
      <c r="H40" s="199"/>
      <c r="I40" s="56">
        <f t="shared" si="7"/>
        <v>1.9999724343247789</v>
      </c>
      <c r="J40" s="65">
        <f>'A2'!F38</f>
        <v>1088295</v>
      </c>
      <c r="K40" s="65">
        <f>'A2'!G38</f>
        <v>88485</v>
      </c>
      <c r="L40" s="55">
        <f t="shared" si="8"/>
        <v>8.1306079693465469E-2</v>
      </c>
      <c r="M40" s="199"/>
      <c r="N40" s="56">
        <f t="shared" ca="1" si="9"/>
        <v>0.68060930170587941</v>
      </c>
      <c r="O40" s="65">
        <f ca="1">'A2'!H38</f>
        <v>740703.70000000007</v>
      </c>
      <c r="P40" s="65">
        <f ca="1">'A2'!I38</f>
        <v>1389834.9574999998</v>
      </c>
      <c r="Q40" s="55">
        <f t="shared" ca="1" si="10"/>
        <v>1.8763710205578825</v>
      </c>
      <c r="R40" s="73"/>
      <c r="S40" s="418">
        <f ca="1">'A2'!J38</f>
        <v>370351.85000000003</v>
      </c>
    </row>
    <row r="41" spans="2:19" ht="16.5" customHeight="1">
      <c r="B41" s="206" t="str">
        <f t="shared" ca="1" si="5"/>
        <v xml:space="preserve">Energy Efficiency Arkansas (Collaborative) </v>
      </c>
      <c r="C41" s="22"/>
      <c r="D41" s="56" t="str">
        <f>IF(ISERROR(E41/'A2'!C39),"-",(E41/'A2'!C39))</f>
        <v>-</v>
      </c>
      <c r="E41" s="65">
        <f>'A2'!D39</f>
        <v>0</v>
      </c>
      <c r="F41" s="65">
        <f>'A2'!E39</f>
        <v>0</v>
      </c>
      <c r="G41" s="55" t="str">
        <f t="shared" si="6"/>
        <v>-</v>
      </c>
      <c r="H41" s="199"/>
      <c r="I41" s="56" t="str">
        <f t="shared" si="7"/>
        <v>-</v>
      </c>
      <c r="J41" s="65">
        <f>'A2'!F39</f>
        <v>0</v>
      </c>
      <c r="K41" s="65">
        <f>'A2'!G39</f>
        <v>0</v>
      </c>
      <c r="L41" s="55" t="str">
        <f t="shared" si="8"/>
        <v>-</v>
      </c>
      <c r="M41" s="199"/>
      <c r="N41" s="56" t="str">
        <f t="shared" ca="1" si="9"/>
        <v>-</v>
      </c>
      <c r="O41" s="65">
        <f ca="1">'A2'!H39</f>
        <v>0</v>
      </c>
      <c r="P41" s="65">
        <f ca="1">'A2'!I39</f>
        <v>0</v>
      </c>
      <c r="Q41" s="55" t="str">
        <f t="shared" ca="1" si="10"/>
        <v>-</v>
      </c>
      <c r="R41" s="73"/>
      <c r="S41" s="418">
        <f ca="1">'A2'!J39</f>
        <v>0</v>
      </c>
    </row>
    <row r="42" spans="2:19" ht="16.5" customHeight="1" thickBot="1">
      <c r="B42" s="206" t="str">
        <f t="shared" ca="1" si="5"/>
        <v>CFL's (Quick Start ONLY)</v>
      </c>
      <c r="C42" s="22"/>
      <c r="D42" s="56" t="str">
        <f>IF(ISERROR(E42/'A2'!C40),"-",(E42/'A2'!C40))</f>
        <v>-</v>
      </c>
      <c r="E42" s="65">
        <f>'A2'!D40</f>
        <v>2414867</v>
      </c>
      <c r="F42" s="65">
        <f>'A2'!E40</f>
        <v>0</v>
      </c>
      <c r="G42" s="55">
        <f t="shared" si="6"/>
        <v>0</v>
      </c>
      <c r="H42" s="199"/>
      <c r="I42" s="56">
        <f t="shared" si="7"/>
        <v>2</v>
      </c>
      <c r="J42" s="65">
        <f>'A2'!F40</f>
        <v>4829734</v>
      </c>
      <c r="K42" s="65">
        <f>'A2'!G40</f>
        <v>0</v>
      </c>
      <c r="L42" s="55">
        <f t="shared" si="8"/>
        <v>0</v>
      </c>
      <c r="M42" s="199"/>
      <c r="N42" s="56">
        <f t="shared" ca="1" si="9"/>
        <v>0</v>
      </c>
      <c r="O42" s="65">
        <f ca="1">'A2'!H40</f>
        <v>0</v>
      </c>
      <c r="P42" s="65">
        <f ca="1">'A2'!I40</f>
        <v>0</v>
      </c>
      <c r="Q42" s="55" t="str">
        <f t="shared" ca="1" si="10"/>
        <v>-</v>
      </c>
      <c r="R42" s="73"/>
      <c r="S42" s="418">
        <f ca="1">'A2'!J40</f>
        <v>0</v>
      </c>
    </row>
    <row r="43" spans="2:19" ht="16.5" hidden="1" customHeight="1">
      <c r="B43" s="206" t="str">
        <f t="shared" ca="1" si="5"/>
        <v xml:space="preserve">AWP Weatherization </v>
      </c>
      <c r="C43" s="22"/>
      <c r="D43" s="56" t="str">
        <f>IF(ISERROR(E43/'A2'!C41),"-",(E43/'A2'!C41))</f>
        <v>-</v>
      </c>
      <c r="E43" s="65">
        <f>'A2'!D41</f>
        <v>0</v>
      </c>
      <c r="F43" s="65">
        <f>'A2'!E41</f>
        <v>0</v>
      </c>
      <c r="G43" s="55" t="str">
        <f t="shared" si="6"/>
        <v>-</v>
      </c>
      <c r="H43" s="199"/>
      <c r="I43" s="56" t="str">
        <f t="shared" si="7"/>
        <v>-</v>
      </c>
      <c r="J43" s="65">
        <f>'A2'!F41</f>
        <v>0</v>
      </c>
      <c r="K43" s="65">
        <f>'A2'!G41</f>
        <v>0</v>
      </c>
      <c r="L43" s="55" t="str">
        <f t="shared" si="8"/>
        <v>-</v>
      </c>
      <c r="M43" s="199"/>
      <c r="N43" s="56" t="str">
        <f t="shared" ca="1" si="9"/>
        <v>-</v>
      </c>
      <c r="O43" s="65">
        <f ca="1">'A2'!H41</f>
        <v>0</v>
      </c>
      <c r="P43" s="65">
        <f ca="1">'A2'!I41</f>
        <v>3976931.3220000006</v>
      </c>
      <c r="Q43" s="55" t="str">
        <f t="shared" ca="1" si="10"/>
        <v>-</v>
      </c>
      <c r="R43" s="73"/>
      <c r="S43" s="418">
        <f ca="1">'A2'!J41</f>
        <v>0</v>
      </c>
    </row>
    <row r="44" spans="2:19" ht="16.5" hidden="1" customHeight="1">
      <c r="B44" s="206" t="str">
        <f t="shared" ca="1" si="5"/>
        <v>Program 9</v>
      </c>
      <c r="C44" s="22"/>
      <c r="D44" s="56" t="str">
        <f>IF(ISERROR(E44/'A2'!C42),"-",(E44/'A2'!C42))</f>
        <v>-</v>
      </c>
      <c r="E44" s="65">
        <f>'A2'!D42</f>
        <v>0</v>
      </c>
      <c r="F44" s="65">
        <f>'A2'!E42</f>
        <v>0</v>
      </c>
      <c r="G44" s="55" t="str">
        <f t="shared" si="6"/>
        <v>-</v>
      </c>
      <c r="H44" s="199"/>
      <c r="I44" s="56" t="str">
        <f t="shared" si="7"/>
        <v>-</v>
      </c>
      <c r="J44" s="65">
        <f>'A2'!F42</f>
        <v>0</v>
      </c>
      <c r="K44" s="65">
        <f>'A2'!G42</f>
        <v>0</v>
      </c>
      <c r="L44" s="55" t="str">
        <f t="shared" si="8"/>
        <v>-</v>
      </c>
      <c r="M44" s="199"/>
      <c r="N44" s="56" t="str">
        <f t="shared" ca="1" si="9"/>
        <v>-</v>
      </c>
      <c r="O44" s="65">
        <f ca="1">'A2'!H42</f>
        <v>0</v>
      </c>
      <c r="P44" s="65">
        <f ca="1">'A2'!I42</f>
        <v>0</v>
      </c>
      <c r="Q44" s="55" t="str">
        <f t="shared" ca="1" si="10"/>
        <v>-</v>
      </c>
      <c r="R44" s="73"/>
      <c r="S44" s="418">
        <f ca="1">'A2'!J42</f>
        <v>0</v>
      </c>
    </row>
    <row r="45" spans="2:19" ht="16.5" hidden="1" customHeight="1">
      <c r="B45" s="206" t="str">
        <f t="shared" ca="1" si="5"/>
        <v>Program 10</v>
      </c>
      <c r="C45" s="22"/>
      <c r="D45" s="56" t="str">
        <f>IF(ISERROR(E45/'A2'!C43),"-",(E45/'A2'!C43))</f>
        <v>-</v>
      </c>
      <c r="E45" s="65">
        <f>'A2'!D43</f>
        <v>0</v>
      </c>
      <c r="F45" s="65">
        <f>'A2'!E43</f>
        <v>0</v>
      </c>
      <c r="G45" s="55" t="str">
        <f t="shared" si="6"/>
        <v>-</v>
      </c>
      <c r="H45" s="199"/>
      <c r="I45" s="56" t="str">
        <f t="shared" si="7"/>
        <v>-</v>
      </c>
      <c r="J45" s="65">
        <f>'A2'!F43</f>
        <v>0</v>
      </c>
      <c r="K45" s="65">
        <f>'A2'!G43</f>
        <v>0</v>
      </c>
      <c r="L45" s="55" t="str">
        <f t="shared" si="8"/>
        <v>-</v>
      </c>
      <c r="M45" s="199"/>
      <c r="N45" s="56" t="str">
        <f t="shared" ca="1" si="9"/>
        <v>-</v>
      </c>
      <c r="O45" s="65">
        <f ca="1">'A2'!H43</f>
        <v>0</v>
      </c>
      <c r="P45" s="65">
        <f ca="1">'A2'!I43</f>
        <v>0</v>
      </c>
      <c r="Q45" s="55" t="str">
        <f t="shared" ca="1" si="10"/>
        <v>-</v>
      </c>
      <c r="R45" s="73"/>
      <c r="S45" s="418">
        <f ca="1">'A2'!J43</f>
        <v>0</v>
      </c>
    </row>
    <row r="46" spans="2:19" ht="16.5" hidden="1" customHeight="1">
      <c r="B46" s="206" t="str">
        <f t="shared" ca="1" si="5"/>
        <v>Program 11</v>
      </c>
      <c r="C46" s="22"/>
      <c r="D46" s="56" t="str">
        <f>IF(ISERROR(E46/'A2'!C44),"-",(E46/'A2'!C44))</f>
        <v>-</v>
      </c>
      <c r="E46" s="65">
        <f>'A2'!D44</f>
        <v>0</v>
      </c>
      <c r="F46" s="65">
        <f>'A2'!E44</f>
        <v>0</v>
      </c>
      <c r="G46" s="55" t="str">
        <f t="shared" si="6"/>
        <v>-</v>
      </c>
      <c r="H46" s="199"/>
      <c r="I46" s="56" t="str">
        <f t="shared" si="7"/>
        <v>-</v>
      </c>
      <c r="J46" s="65">
        <f>'A2'!F44</f>
        <v>0</v>
      </c>
      <c r="K46" s="65">
        <f>'A2'!G44</f>
        <v>0</v>
      </c>
      <c r="L46" s="55" t="str">
        <f t="shared" si="8"/>
        <v>-</v>
      </c>
      <c r="M46" s="199"/>
      <c r="N46" s="56" t="str">
        <f t="shared" ca="1" si="9"/>
        <v>-</v>
      </c>
      <c r="O46" s="65">
        <f ca="1">'A2'!H44</f>
        <v>0</v>
      </c>
      <c r="P46" s="65">
        <f ca="1">'A2'!I44</f>
        <v>0</v>
      </c>
      <c r="Q46" s="55" t="str">
        <f t="shared" ca="1" si="10"/>
        <v>-</v>
      </c>
      <c r="R46" s="73"/>
      <c r="S46" s="418">
        <f ca="1">'A2'!J44</f>
        <v>0</v>
      </c>
    </row>
    <row r="47" spans="2:19" ht="16.5" hidden="1" customHeight="1">
      <c r="B47" s="206" t="str">
        <f t="shared" ca="1" si="5"/>
        <v>Program 12</v>
      </c>
      <c r="C47" s="22"/>
      <c r="D47" s="56" t="str">
        <f>IF(ISERROR(E47/'A2'!C45),"-",(E47/'A2'!C45))</f>
        <v>-</v>
      </c>
      <c r="E47" s="65">
        <f>'A2'!D45</f>
        <v>0</v>
      </c>
      <c r="F47" s="65">
        <f>'A2'!E45</f>
        <v>0</v>
      </c>
      <c r="G47" s="55" t="str">
        <f t="shared" si="6"/>
        <v>-</v>
      </c>
      <c r="H47" s="199"/>
      <c r="I47" s="56" t="str">
        <f t="shared" si="7"/>
        <v>-</v>
      </c>
      <c r="J47" s="65">
        <f>'A2'!F45</f>
        <v>0</v>
      </c>
      <c r="K47" s="65">
        <f>'A2'!G45</f>
        <v>0</v>
      </c>
      <c r="L47" s="55" t="str">
        <f t="shared" si="8"/>
        <v>-</v>
      </c>
      <c r="M47" s="199"/>
      <c r="N47" s="56" t="str">
        <f t="shared" ca="1" si="9"/>
        <v>-</v>
      </c>
      <c r="O47" s="65">
        <f ca="1">'A2'!H45</f>
        <v>0</v>
      </c>
      <c r="P47" s="65">
        <f ca="1">'A2'!I45</f>
        <v>0</v>
      </c>
      <c r="Q47" s="55" t="str">
        <f t="shared" ca="1" si="10"/>
        <v>-</v>
      </c>
      <c r="R47" s="73"/>
      <c r="S47" s="418">
        <f ca="1">'A2'!J45</f>
        <v>0</v>
      </c>
    </row>
    <row r="48" spans="2:19" ht="16.5" hidden="1" customHeight="1">
      <c r="B48" s="206" t="str">
        <f t="shared" ca="1" si="5"/>
        <v>Program 13</v>
      </c>
      <c r="C48" s="22"/>
      <c r="D48" s="56" t="str">
        <f>IF(ISERROR(E48/'A2'!C46),"-",(E48/'A2'!C46))</f>
        <v>-</v>
      </c>
      <c r="E48" s="65">
        <f>'A2'!D46</f>
        <v>0</v>
      </c>
      <c r="F48" s="65">
        <f>'A2'!E46</f>
        <v>0</v>
      </c>
      <c r="G48" s="55" t="str">
        <f t="shared" si="6"/>
        <v>-</v>
      </c>
      <c r="H48" s="199"/>
      <c r="I48" s="56" t="str">
        <f t="shared" si="7"/>
        <v>-</v>
      </c>
      <c r="J48" s="65">
        <f>'A2'!F46</f>
        <v>0</v>
      </c>
      <c r="K48" s="65">
        <f>'A2'!G46</f>
        <v>0</v>
      </c>
      <c r="L48" s="55" t="str">
        <f t="shared" si="8"/>
        <v>-</v>
      </c>
      <c r="M48" s="199"/>
      <c r="N48" s="56" t="str">
        <f t="shared" ca="1" si="9"/>
        <v>-</v>
      </c>
      <c r="O48" s="65">
        <f ca="1">'A2'!H46</f>
        <v>0</v>
      </c>
      <c r="P48" s="65">
        <f ca="1">'A2'!I46</f>
        <v>0</v>
      </c>
      <c r="Q48" s="55" t="str">
        <f t="shared" ca="1" si="10"/>
        <v>-</v>
      </c>
      <c r="R48" s="73"/>
      <c r="S48" s="418">
        <f ca="1">'A2'!J46</f>
        <v>0</v>
      </c>
    </row>
    <row r="49" spans="2:19" ht="16.5" hidden="1" customHeight="1">
      <c r="B49" s="206" t="str">
        <f t="shared" ca="1" si="5"/>
        <v>Program 14</v>
      </c>
      <c r="C49" s="22"/>
      <c r="D49" s="56" t="str">
        <f>IF(ISERROR(E49/'A2'!C47),"-",(E49/'A2'!C47))</f>
        <v>-</v>
      </c>
      <c r="E49" s="65">
        <f>'A2'!D47</f>
        <v>0</v>
      </c>
      <c r="F49" s="65">
        <f>'A2'!E47</f>
        <v>0</v>
      </c>
      <c r="G49" s="55" t="str">
        <f t="shared" si="6"/>
        <v>-</v>
      </c>
      <c r="H49" s="199"/>
      <c r="I49" s="56" t="str">
        <f t="shared" si="7"/>
        <v>-</v>
      </c>
      <c r="J49" s="65">
        <f>'A2'!F47</f>
        <v>0</v>
      </c>
      <c r="K49" s="65">
        <f>'A2'!G47</f>
        <v>0</v>
      </c>
      <c r="L49" s="55" t="str">
        <f t="shared" si="8"/>
        <v>-</v>
      </c>
      <c r="M49" s="199"/>
      <c r="N49" s="56" t="str">
        <f t="shared" ca="1" si="9"/>
        <v>-</v>
      </c>
      <c r="O49" s="65">
        <f ca="1">'A2'!H47</f>
        <v>0</v>
      </c>
      <c r="P49" s="65">
        <f ca="1">'A2'!I47</f>
        <v>0</v>
      </c>
      <c r="Q49" s="55" t="str">
        <f t="shared" ca="1" si="10"/>
        <v>-</v>
      </c>
      <c r="R49" s="73"/>
      <c r="S49" s="418">
        <f ca="1">'A2'!J47</f>
        <v>0</v>
      </c>
    </row>
    <row r="50" spans="2:19" ht="16.5" hidden="1" customHeight="1" thickBot="1">
      <c r="B50" s="207" t="str">
        <f t="shared" ca="1" si="5"/>
        <v>Program 15</v>
      </c>
      <c r="C50" s="22"/>
      <c r="D50" s="527" t="str">
        <f>IF(ISERROR(E50/'A2'!C48),"-",(E50/'A2'!C48))</f>
        <v>-</v>
      </c>
      <c r="E50" s="528">
        <f>'A2'!D48</f>
        <v>0</v>
      </c>
      <c r="F50" s="528">
        <f>'A2'!E48</f>
        <v>0</v>
      </c>
      <c r="G50" s="529" t="str">
        <f t="shared" si="6"/>
        <v>-</v>
      </c>
      <c r="H50" s="199"/>
      <c r="I50" s="527" t="str">
        <f t="shared" si="7"/>
        <v>-</v>
      </c>
      <c r="J50" s="528">
        <f>'A2'!F48</f>
        <v>0</v>
      </c>
      <c r="K50" s="528">
        <f>'A2'!G48</f>
        <v>0</v>
      </c>
      <c r="L50" s="529" t="str">
        <f t="shared" si="8"/>
        <v>-</v>
      </c>
      <c r="M50" s="199"/>
      <c r="N50" s="527" t="str">
        <f t="shared" ca="1" si="9"/>
        <v>-</v>
      </c>
      <c r="O50" s="528">
        <f ca="1">'A2'!H48</f>
        <v>0</v>
      </c>
      <c r="P50" s="528">
        <f ca="1">'A2'!I48</f>
        <v>0</v>
      </c>
      <c r="Q50" s="529" t="str">
        <f t="shared" ca="1" si="10"/>
        <v>-</v>
      </c>
      <c r="R50" s="73"/>
      <c r="S50" s="532">
        <f ca="1">'A2'!J48</f>
        <v>0</v>
      </c>
    </row>
    <row r="51" spans="2:19" ht="16.5" customHeight="1" thickBot="1">
      <c r="B51" s="287" t="s">
        <v>30</v>
      </c>
      <c r="C51" s="227"/>
      <c r="D51" s="530" t="str">
        <f>IF(ISERROR(E51/'A2'!C49),"-",(E51/'A2'!C49))</f>
        <v>-</v>
      </c>
      <c r="E51" s="531">
        <f>SUM(E36:E50)</f>
        <v>21398972</v>
      </c>
      <c r="F51" s="531">
        <f>SUM(F36:F50)</f>
        <v>24401780</v>
      </c>
      <c r="G51" s="521">
        <f t="shared" si="6"/>
        <v>1.1403248716807517</v>
      </c>
      <c r="H51" s="534"/>
      <c r="I51" s="530">
        <f t="shared" si="7"/>
        <v>1.9999988317195798</v>
      </c>
      <c r="J51" s="531">
        <f>SUM(J36:J50)</f>
        <v>42797919</v>
      </c>
      <c r="K51" s="531">
        <f>SUM(K36:K50)</f>
        <v>56109005</v>
      </c>
      <c r="L51" s="521">
        <f t="shared" si="8"/>
        <v>1.3110218045882092</v>
      </c>
      <c r="M51" s="534"/>
      <c r="N51" s="530">
        <f t="shared" ca="1" si="9"/>
        <v>0.90625998759425674</v>
      </c>
      <c r="O51" s="531">
        <f ca="1">SUM(O36:O50)</f>
        <v>38786041.542000003</v>
      </c>
      <c r="P51" s="531">
        <f ca="1">SUM(P36:P50)</f>
        <v>46159234.486884966</v>
      </c>
      <c r="Q51" s="521">
        <f t="shared" ca="1" si="10"/>
        <v>1.1900991349400996</v>
      </c>
      <c r="R51" s="535"/>
      <c r="S51" s="538">
        <f ca="1">SUM(S36:S50)</f>
        <v>19392774.008000001</v>
      </c>
    </row>
    <row r="52" spans="2:19" ht="16.5" customHeight="1">
      <c r="B52" s="200"/>
      <c r="C52" s="22"/>
      <c r="D52" s="22"/>
      <c r="E52" s="22"/>
      <c r="F52" s="22"/>
      <c r="G52" s="22"/>
      <c r="H52" s="22"/>
      <c r="I52" s="22"/>
      <c r="J52" s="22"/>
      <c r="K52" s="22"/>
      <c r="L52" s="22"/>
      <c r="M52" s="22"/>
      <c r="N52" s="22"/>
      <c r="O52" s="22"/>
      <c r="P52" s="22"/>
      <c r="Q52" s="22"/>
      <c r="R52" s="73"/>
      <c r="S52" s="419"/>
    </row>
    <row r="53" spans="2:19" ht="16.5" customHeight="1" thickBot="1">
      <c r="B53" s="200"/>
      <c r="C53" s="22"/>
      <c r="D53" s="22"/>
      <c r="E53" s="22"/>
      <c r="F53" s="22"/>
      <c r="G53" s="22"/>
      <c r="H53" s="22"/>
      <c r="I53" s="22"/>
      <c r="J53" s="22"/>
      <c r="K53" s="22"/>
      <c r="L53" s="22"/>
      <c r="M53" s="22"/>
      <c r="N53" s="22"/>
      <c r="O53" s="22"/>
      <c r="P53" s="22"/>
      <c r="Q53" s="22"/>
      <c r="R53" s="73"/>
      <c r="S53" s="419"/>
    </row>
    <row r="54" spans="2:19" ht="16.5" customHeight="1" thickBot="1">
      <c r="B54" s="202" t="s">
        <v>31</v>
      </c>
      <c r="C54" s="21"/>
      <c r="D54" s="738">
        <f>D7</f>
        <v>2008</v>
      </c>
      <c r="E54" s="739"/>
      <c r="F54" s="739"/>
      <c r="G54" s="740"/>
      <c r="H54" s="21"/>
      <c r="I54" s="738">
        <f>I7</f>
        <v>2009</v>
      </c>
      <c r="J54" s="739"/>
      <c r="K54" s="739"/>
      <c r="L54" s="740"/>
      <c r="M54" s="23"/>
      <c r="N54" s="738">
        <f>N7</f>
        <v>2010</v>
      </c>
      <c r="O54" s="739"/>
      <c r="P54" s="739"/>
      <c r="Q54" s="740"/>
      <c r="R54" s="73"/>
      <c r="S54" s="420">
        <f>N54+1</f>
        <v>2011</v>
      </c>
    </row>
    <row r="55" spans="2:19" ht="16.5" customHeight="1" thickBot="1">
      <c r="B55" s="212" t="str">
        <f>VLOOKUP('A1'!$I$4,'Pull-down list'!D2:F3,3)&amp;"*Yrs"</f>
        <v>kW*Yrs</v>
      </c>
      <c r="C55" s="21"/>
      <c r="D55" s="753" t="s">
        <v>231</v>
      </c>
      <c r="E55" s="898"/>
      <c r="F55" s="898"/>
      <c r="G55" s="754"/>
      <c r="H55" s="21"/>
      <c r="I55" s="753" t="s">
        <v>231</v>
      </c>
      <c r="J55" s="898"/>
      <c r="K55" s="898"/>
      <c r="L55" s="754"/>
      <c r="M55" s="23"/>
      <c r="N55" s="753" t="s">
        <v>231</v>
      </c>
      <c r="O55" s="898"/>
      <c r="P55" s="898"/>
      <c r="Q55" s="754"/>
      <c r="R55" s="73"/>
      <c r="S55" s="899" t="s">
        <v>29</v>
      </c>
    </row>
    <row r="56" spans="2:19" ht="16.5" customHeight="1" thickBot="1">
      <c r="B56" s="204"/>
      <c r="C56" s="21"/>
      <c r="D56" s="126" t="s">
        <v>25</v>
      </c>
      <c r="E56" s="738" t="str">
        <f>B55</f>
        <v>kW*Yrs</v>
      </c>
      <c r="F56" s="740"/>
      <c r="G56" s="126" t="s">
        <v>25</v>
      </c>
      <c r="H56" s="21"/>
      <c r="I56" s="126" t="s">
        <v>25</v>
      </c>
      <c r="J56" s="738" t="str">
        <f>B55</f>
        <v>kW*Yrs</v>
      </c>
      <c r="K56" s="740"/>
      <c r="L56" s="126" t="s">
        <v>25</v>
      </c>
      <c r="M56" s="23"/>
      <c r="N56" s="126" t="s">
        <v>25</v>
      </c>
      <c r="O56" s="738" t="str">
        <f>B55</f>
        <v>kW*Yrs</v>
      </c>
      <c r="P56" s="740"/>
      <c r="Q56" s="126" t="s">
        <v>25</v>
      </c>
      <c r="R56" s="73"/>
      <c r="S56" s="900"/>
    </row>
    <row r="57" spans="2:19" ht="16.5" customHeight="1" thickBot="1">
      <c r="B57" s="205" t="s">
        <v>26</v>
      </c>
      <c r="C57" s="23"/>
      <c r="D57" s="415" t="s">
        <v>27</v>
      </c>
      <c r="E57" s="158" t="s">
        <v>12</v>
      </c>
      <c r="F57" s="158" t="s">
        <v>24</v>
      </c>
      <c r="G57" s="159" t="s">
        <v>29</v>
      </c>
      <c r="H57" s="23"/>
      <c r="I57" s="415" t="s">
        <v>27</v>
      </c>
      <c r="J57" s="158" t="s">
        <v>12</v>
      </c>
      <c r="K57" s="158" t="s">
        <v>24</v>
      </c>
      <c r="L57" s="159" t="s">
        <v>29</v>
      </c>
      <c r="M57" s="23"/>
      <c r="N57" s="415" t="s">
        <v>27</v>
      </c>
      <c r="O57" s="158" t="s">
        <v>12</v>
      </c>
      <c r="P57" s="158" t="s">
        <v>24</v>
      </c>
      <c r="Q57" s="159" t="s">
        <v>29</v>
      </c>
      <c r="R57" s="73"/>
      <c r="S57" s="544" t="str">
        <f>O56</f>
        <v>kW*Yrs</v>
      </c>
    </row>
    <row r="58" spans="2:19" ht="16.5" customHeight="1">
      <c r="B58" s="206" t="str">
        <f t="shared" ref="B58:B72" ca="1" si="11">B11</f>
        <v>Weatherization</v>
      </c>
      <c r="C58" s="22"/>
      <c r="D58" s="63" t="str">
        <f>IF(ISERROR(E58/'A2'!C54),"-",(E58/'A2'!C54))</f>
        <v>-</v>
      </c>
      <c r="E58" s="64">
        <f>'A2'!D54</f>
        <v>89.07</v>
      </c>
      <c r="F58" s="64">
        <f>'A2'!E54</f>
        <v>41.23</v>
      </c>
      <c r="G58" s="58">
        <f t="shared" ref="G58:G73" si="12">IF(ISERROR(F58/E58),"-",(F58/E58))</f>
        <v>0.46289435275625912</v>
      </c>
      <c r="H58" s="217"/>
      <c r="I58" s="63">
        <f t="shared" ref="I58:I73" si="13">IF(ISERROR(J58/E58),"-",(J58/E58))</f>
        <v>1.9998877287526666</v>
      </c>
      <c r="J58" s="64">
        <f>'A2'!F54</f>
        <v>178.13</v>
      </c>
      <c r="K58" s="64">
        <f>'A2'!G54</f>
        <v>66.5</v>
      </c>
      <c r="L58" s="58">
        <f t="shared" ref="L58:L73" si="14">IF(ISERROR(K58/J58),"-",(K58/J58))</f>
        <v>0.37332285409532368</v>
      </c>
      <c r="M58" s="218"/>
      <c r="N58" s="63">
        <f t="shared" ref="N58:N73" ca="1" si="15">IF(ISERROR(O58/J58),"-",(O58/J58))</f>
        <v>3.4300791556728232</v>
      </c>
      <c r="O58" s="64">
        <f ca="1">'A2'!H54</f>
        <v>611</v>
      </c>
      <c r="P58" s="64">
        <f ca="1">'A2'!I54</f>
        <v>782.18100000000004</v>
      </c>
      <c r="Q58" s="58">
        <f t="shared" ref="Q58:Q73" ca="1" si="16">IF(ISERROR(P58/O58),"-",(P58/O58))</f>
        <v>1.2801653027823241</v>
      </c>
      <c r="R58" s="73"/>
      <c r="S58" s="421">
        <f ca="1">'A2'!J56</f>
        <v>27</v>
      </c>
    </row>
    <row r="59" spans="2:19" ht="16.5" customHeight="1">
      <c r="B59" s="206" t="str">
        <f t="shared" ca="1" si="11"/>
        <v>Living Wise</v>
      </c>
      <c r="C59" s="22"/>
      <c r="D59" s="56" t="str">
        <f>IF(ISERROR(E59/'A2'!C55),"-",(E59/'A2'!C55))</f>
        <v>-</v>
      </c>
      <c r="E59" s="64">
        <f>'A2'!D55</f>
        <v>13.69</v>
      </c>
      <c r="F59" s="64">
        <f>'A2'!E55</f>
        <v>36.6</v>
      </c>
      <c r="G59" s="55">
        <f t="shared" si="12"/>
        <v>2.6734842951059168</v>
      </c>
      <c r="H59" s="217"/>
      <c r="I59" s="56">
        <f t="shared" si="13"/>
        <v>2.0007304601899198</v>
      </c>
      <c r="J59" s="64">
        <f>'A2'!F55</f>
        <v>27.39</v>
      </c>
      <c r="K59" s="64">
        <f>'A2'!G55</f>
        <v>53.25</v>
      </c>
      <c r="L59" s="55">
        <f t="shared" si="14"/>
        <v>1.9441401971522454</v>
      </c>
      <c r="M59" s="218"/>
      <c r="N59" s="56">
        <f t="shared" ca="1" si="15"/>
        <v>0.40160642570281124</v>
      </c>
      <c r="O59" s="64">
        <f ca="1">'A2'!H55</f>
        <v>11</v>
      </c>
      <c r="P59" s="64">
        <f ca="1">'A2'!I55</f>
        <v>11.101021077465752</v>
      </c>
      <c r="Q59" s="55">
        <f t="shared" ca="1" si="16"/>
        <v>1.0091837343150685</v>
      </c>
      <c r="R59" s="73"/>
      <c r="S59" s="422">
        <f ca="1">'A2'!J57</f>
        <v>186</v>
      </c>
    </row>
    <row r="60" spans="2:19" ht="16.5" customHeight="1">
      <c r="B60" s="206" t="str">
        <f t="shared" ca="1" si="11"/>
        <v>CER</v>
      </c>
      <c r="C60" s="22"/>
      <c r="D60" s="56" t="str">
        <f>IF(ISERROR(E60/'A2'!C56),"-",(E60/'A2'!C56))</f>
        <v>-</v>
      </c>
      <c r="E60" s="64">
        <f>'A2'!D56</f>
        <v>244.65</v>
      </c>
      <c r="F60" s="64">
        <f>'A2'!E56</f>
        <v>283.56</v>
      </c>
      <c r="G60" s="55">
        <f t="shared" si="12"/>
        <v>1.1590435315757204</v>
      </c>
      <c r="H60" s="217"/>
      <c r="I60" s="56">
        <f t="shared" si="13"/>
        <v>1.9999591252810138</v>
      </c>
      <c r="J60" s="64">
        <f>'A2'!F56</f>
        <v>489.29</v>
      </c>
      <c r="K60" s="64">
        <f>'A2'!G56</f>
        <v>106</v>
      </c>
      <c r="L60" s="55">
        <f t="shared" si="14"/>
        <v>0.21664043818594289</v>
      </c>
      <c r="M60" s="218"/>
      <c r="N60" s="56">
        <f t="shared" ca="1" si="15"/>
        <v>0.11240777453044207</v>
      </c>
      <c r="O60" s="64">
        <f ca="1">'A2'!H56</f>
        <v>55</v>
      </c>
      <c r="P60" s="64">
        <f ca="1">'A2'!I56</f>
        <v>5.8</v>
      </c>
      <c r="Q60" s="55">
        <f t="shared" ca="1" si="16"/>
        <v>0.10545454545454545</v>
      </c>
      <c r="R60" s="73"/>
      <c r="S60" s="422">
        <f ca="1">'A2'!J58</f>
        <v>8</v>
      </c>
    </row>
    <row r="61" spans="2:19" ht="16.5" customHeight="1">
      <c r="B61" s="206" t="str">
        <f t="shared" ca="1" si="11"/>
        <v>Commercial Lighting</v>
      </c>
      <c r="C61" s="22"/>
      <c r="D61" s="56" t="str">
        <f>IF(ISERROR(E61/'A2'!C57),"-",(E61/'A2'!C57))</f>
        <v>-</v>
      </c>
      <c r="E61" s="64">
        <f>'A2'!D57</f>
        <v>224.63</v>
      </c>
      <c r="F61" s="64">
        <f>'A2'!E57</f>
        <v>300.88</v>
      </c>
      <c r="G61" s="55">
        <f t="shared" si="12"/>
        <v>1.3394470907714908</v>
      </c>
      <c r="H61" s="217"/>
      <c r="I61" s="56">
        <f t="shared" si="13"/>
        <v>2</v>
      </c>
      <c r="J61" s="64">
        <f>'A2'!F57</f>
        <v>449.26</v>
      </c>
      <c r="K61" s="64">
        <f>'A2'!G57</f>
        <v>694.06</v>
      </c>
      <c r="L61" s="55">
        <f t="shared" si="14"/>
        <v>1.5448960512843342</v>
      </c>
      <c r="M61" s="218"/>
      <c r="N61" s="56">
        <f t="shared" ca="1" si="15"/>
        <v>0.62324711748208161</v>
      </c>
      <c r="O61" s="64">
        <f ca="1">'A2'!H57</f>
        <v>280</v>
      </c>
      <c r="P61" s="64">
        <f ca="1">'A2'!I57</f>
        <v>431.66549999999995</v>
      </c>
      <c r="Q61" s="55">
        <f t="shared" ca="1" si="16"/>
        <v>1.5416624999999999</v>
      </c>
      <c r="R61" s="73"/>
      <c r="S61" s="422">
        <f ca="1">'A2'!J59</f>
        <v>0</v>
      </c>
    </row>
    <row r="62" spans="2:19" ht="16.5" customHeight="1">
      <c r="B62" s="206" t="str">
        <f t="shared" ca="1" si="11"/>
        <v>Commercial Motors</v>
      </c>
      <c r="C62" s="22"/>
      <c r="D62" s="56" t="str">
        <f>IF(ISERROR(E62/'A2'!C58),"-",(E62/'A2'!C58))</f>
        <v>-</v>
      </c>
      <c r="E62" s="64">
        <f>'A2'!D58</f>
        <v>13.12</v>
      </c>
      <c r="F62" s="64">
        <f>'A2'!E58</f>
        <v>3.68</v>
      </c>
      <c r="G62" s="55">
        <f t="shared" si="12"/>
        <v>0.28048780487804881</v>
      </c>
      <c r="H62" s="217"/>
      <c r="I62" s="56">
        <f t="shared" si="13"/>
        <v>2.0007621951219514</v>
      </c>
      <c r="J62" s="64">
        <f>'A2'!F58</f>
        <v>26.25</v>
      </c>
      <c r="K62" s="64">
        <f>'A2'!G58</f>
        <v>1.47</v>
      </c>
      <c r="L62" s="55">
        <f t="shared" si="14"/>
        <v>5.6000000000000001E-2</v>
      </c>
      <c r="M62" s="218"/>
      <c r="N62" s="56">
        <f t="shared" ca="1" si="15"/>
        <v>0.49523809523809526</v>
      </c>
      <c r="O62" s="64">
        <f ca="1">'A2'!H58</f>
        <v>13</v>
      </c>
      <c r="P62" s="64">
        <f ca="1">'A2'!I58</f>
        <v>21.289950000000001</v>
      </c>
      <c r="Q62" s="55">
        <f t="shared" ca="1" si="16"/>
        <v>1.6376884615384617</v>
      </c>
      <c r="R62" s="73"/>
      <c r="S62" s="422">
        <f ca="1">'A2'!J60</f>
        <v>0</v>
      </c>
    </row>
    <row r="63" spans="2:19" ht="16.5" customHeight="1">
      <c r="B63" s="206" t="str">
        <f t="shared" ca="1" si="11"/>
        <v xml:space="preserve">Energy Efficiency Arkansas (Collaborative) </v>
      </c>
      <c r="C63" s="22"/>
      <c r="D63" s="56" t="str">
        <f>IF(ISERROR(E63/'A2'!C59),"-",(E63/'A2'!C59))</f>
        <v>-</v>
      </c>
      <c r="E63" s="64">
        <f>'A2'!D59</f>
        <v>0</v>
      </c>
      <c r="F63" s="64">
        <f>'A2'!E59</f>
        <v>0</v>
      </c>
      <c r="G63" s="55" t="str">
        <f t="shared" si="12"/>
        <v>-</v>
      </c>
      <c r="H63" s="217"/>
      <c r="I63" s="56" t="str">
        <f t="shared" si="13"/>
        <v>-</v>
      </c>
      <c r="J63" s="64">
        <f>'A2'!F59</f>
        <v>0</v>
      </c>
      <c r="K63" s="64">
        <f>'A2'!G59</f>
        <v>0</v>
      </c>
      <c r="L63" s="55" t="str">
        <f t="shared" si="14"/>
        <v>-</v>
      </c>
      <c r="M63" s="218"/>
      <c r="N63" s="56" t="str">
        <f t="shared" ca="1" si="15"/>
        <v>-</v>
      </c>
      <c r="O63" s="64">
        <f ca="1">'A2'!H59</f>
        <v>0</v>
      </c>
      <c r="P63" s="64">
        <f ca="1">'A2'!I59</f>
        <v>0</v>
      </c>
      <c r="Q63" s="55" t="str">
        <f t="shared" ca="1" si="16"/>
        <v>-</v>
      </c>
      <c r="R63" s="73"/>
      <c r="S63" s="422">
        <f ca="1">'A2'!J61</f>
        <v>0</v>
      </c>
    </row>
    <row r="64" spans="2:19" ht="16.5" customHeight="1" thickBot="1">
      <c r="B64" s="206" t="str">
        <f t="shared" ca="1" si="11"/>
        <v>CFL's (Quick Start ONLY)</v>
      </c>
      <c r="C64" s="22"/>
      <c r="D64" s="56" t="str">
        <f>IF(ISERROR(E64/'A2'!C60),"-",(E64/'A2'!C60))</f>
        <v>-</v>
      </c>
      <c r="E64" s="64">
        <f>'A2'!D60</f>
        <v>427.23</v>
      </c>
      <c r="F64" s="64">
        <f>'A2'!E60</f>
        <v>0</v>
      </c>
      <c r="G64" s="55">
        <f t="shared" si="12"/>
        <v>0</v>
      </c>
      <c r="H64" s="217"/>
      <c r="I64" s="56">
        <f t="shared" si="13"/>
        <v>2</v>
      </c>
      <c r="J64" s="64">
        <f>'A2'!F60</f>
        <v>854.46</v>
      </c>
      <c r="K64" s="64">
        <f>'A2'!G60</f>
        <v>0</v>
      </c>
      <c r="L64" s="55">
        <f t="shared" si="14"/>
        <v>0</v>
      </c>
      <c r="M64" s="218"/>
      <c r="N64" s="56">
        <f t="shared" ca="1" si="15"/>
        <v>0</v>
      </c>
      <c r="O64" s="64">
        <f ca="1">'A2'!H60</f>
        <v>0</v>
      </c>
      <c r="P64" s="64">
        <f ca="1">'A2'!I60</f>
        <v>0</v>
      </c>
      <c r="Q64" s="55" t="str">
        <f t="shared" ca="1" si="16"/>
        <v>-</v>
      </c>
      <c r="R64" s="73"/>
      <c r="S64" s="422">
        <f ca="1">'A2'!J62</f>
        <v>0</v>
      </c>
    </row>
    <row r="65" spans="2:19" ht="16.5" hidden="1" customHeight="1">
      <c r="B65" s="206" t="str">
        <f t="shared" ca="1" si="11"/>
        <v xml:space="preserve">AWP Weatherization </v>
      </c>
      <c r="C65" s="22"/>
      <c r="D65" s="56" t="str">
        <f>IF(ISERROR(E65/'A2'!C61),"-",(E65/'A2'!C61))</f>
        <v>-</v>
      </c>
      <c r="E65" s="64">
        <f>'A2'!D61</f>
        <v>0</v>
      </c>
      <c r="F65" s="64">
        <f>'A2'!E61</f>
        <v>0</v>
      </c>
      <c r="G65" s="55" t="str">
        <f t="shared" si="12"/>
        <v>-</v>
      </c>
      <c r="H65" s="217"/>
      <c r="I65" s="56" t="str">
        <f t="shared" si="13"/>
        <v>-</v>
      </c>
      <c r="J65" s="64">
        <f>'A2'!F61</f>
        <v>0</v>
      </c>
      <c r="K65" s="64">
        <f>'A2'!G61</f>
        <v>0</v>
      </c>
      <c r="L65" s="55" t="str">
        <f t="shared" si="14"/>
        <v>-</v>
      </c>
      <c r="M65" s="218"/>
      <c r="N65" s="56" t="str">
        <f t="shared" ca="1" si="15"/>
        <v>-</v>
      </c>
      <c r="O65" s="64">
        <f ca="1">'A2'!H61</f>
        <v>0</v>
      </c>
      <c r="P65" s="64">
        <f ca="1">'A2'!I61</f>
        <v>78.137220000000013</v>
      </c>
      <c r="Q65" s="55" t="str">
        <f t="shared" ca="1" si="16"/>
        <v>-</v>
      </c>
      <c r="R65" s="73"/>
      <c r="S65" s="422">
        <f ca="1">'A2'!J63</f>
        <v>0</v>
      </c>
    </row>
    <row r="66" spans="2:19" ht="16.5" hidden="1" customHeight="1">
      <c r="B66" s="206" t="str">
        <f t="shared" ca="1" si="11"/>
        <v>Program 9</v>
      </c>
      <c r="C66" s="22"/>
      <c r="D66" s="56" t="str">
        <f>IF(ISERROR(E66/'A2'!C62),"-",(E66/'A2'!C62))</f>
        <v>-</v>
      </c>
      <c r="E66" s="64">
        <f>'A2'!D62</f>
        <v>0</v>
      </c>
      <c r="F66" s="64">
        <f>'A2'!E62</f>
        <v>0</v>
      </c>
      <c r="G66" s="55" t="str">
        <f t="shared" si="12"/>
        <v>-</v>
      </c>
      <c r="H66" s="217"/>
      <c r="I66" s="56" t="str">
        <f t="shared" si="13"/>
        <v>-</v>
      </c>
      <c r="J66" s="64">
        <f>'A2'!F62</f>
        <v>0</v>
      </c>
      <c r="K66" s="64">
        <f>'A2'!G62</f>
        <v>0</v>
      </c>
      <c r="L66" s="55" t="str">
        <f t="shared" si="14"/>
        <v>-</v>
      </c>
      <c r="M66" s="218"/>
      <c r="N66" s="56" t="str">
        <f t="shared" ca="1" si="15"/>
        <v>-</v>
      </c>
      <c r="O66" s="64">
        <f ca="1">'A2'!H62</f>
        <v>0</v>
      </c>
      <c r="P66" s="64">
        <f ca="1">'A2'!I62</f>
        <v>0</v>
      </c>
      <c r="Q66" s="55" t="str">
        <f t="shared" ca="1" si="16"/>
        <v>-</v>
      </c>
      <c r="R66" s="73"/>
      <c r="S66" s="422">
        <f ca="1">'A2'!J64</f>
        <v>0</v>
      </c>
    </row>
    <row r="67" spans="2:19" ht="16.5" hidden="1" customHeight="1">
      <c r="B67" s="206" t="str">
        <f t="shared" ca="1" si="11"/>
        <v>Program 10</v>
      </c>
      <c r="C67" s="22"/>
      <c r="D67" s="56" t="str">
        <f>IF(ISERROR(E67/'A2'!C63),"-",(E67/'A2'!C63))</f>
        <v>-</v>
      </c>
      <c r="E67" s="64">
        <f>'A2'!D63</f>
        <v>0</v>
      </c>
      <c r="F67" s="64">
        <f>'A2'!E63</f>
        <v>0</v>
      </c>
      <c r="G67" s="55" t="str">
        <f t="shared" si="12"/>
        <v>-</v>
      </c>
      <c r="H67" s="217"/>
      <c r="I67" s="56" t="str">
        <f t="shared" si="13"/>
        <v>-</v>
      </c>
      <c r="J67" s="64">
        <f>'A2'!F63</f>
        <v>0</v>
      </c>
      <c r="K67" s="64">
        <f>'A2'!G63</f>
        <v>0</v>
      </c>
      <c r="L67" s="55" t="str">
        <f t="shared" si="14"/>
        <v>-</v>
      </c>
      <c r="M67" s="218"/>
      <c r="N67" s="56" t="str">
        <f t="shared" ca="1" si="15"/>
        <v>-</v>
      </c>
      <c r="O67" s="64">
        <f ca="1">'A2'!H63</f>
        <v>0</v>
      </c>
      <c r="P67" s="64">
        <f ca="1">'A2'!I63</f>
        <v>0</v>
      </c>
      <c r="Q67" s="55" t="str">
        <f t="shared" ca="1" si="16"/>
        <v>-</v>
      </c>
      <c r="R67" s="73"/>
      <c r="S67" s="422">
        <f ca="1">'A2'!J65</f>
        <v>0</v>
      </c>
    </row>
    <row r="68" spans="2:19" ht="16.5" hidden="1" customHeight="1">
      <c r="B68" s="206" t="str">
        <f t="shared" ca="1" si="11"/>
        <v>Program 11</v>
      </c>
      <c r="C68" s="22"/>
      <c r="D68" s="56" t="str">
        <f>IF(ISERROR(E68/'A2'!C64),"-",(E68/'A2'!C64))</f>
        <v>-</v>
      </c>
      <c r="E68" s="64">
        <f>'A2'!D64</f>
        <v>0</v>
      </c>
      <c r="F68" s="64">
        <f>'A2'!E64</f>
        <v>0</v>
      </c>
      <c r="G68" s="55" t="str">
        <f t="shared" si="12"/>
        <v>-</v>
      </c>
      <c r="H68" s="217"/>
      <c r="I68" s="56" t="str">
        <f t="shared" si="13"/>
        <v>-</v>
      </c>
      <c r="J68" s="64">
        <f>'A2'!F64</f>
        <v>0</v>
      </c>
      <c r="K68" s="64">
        <f>'A2'!G64</f>
        <v>0</v>
      </c>
      <c r="L68" s="55" t="str">
        <f t="shared" si="14"/>
        <v>-</v>
      </c>
      <c r="M68" s="218"/>
      <c r="N68" s="56" t="str">
        <f t="shared" ca="1" si="15"/>
        <v>-</v>
      </c>
      <c r="O68" s="64">
        <f ca="1">'A2'!H64</f>
        <v>0</v>
      </c>
      <c r="P68" s="64">
        <f ca="1">'A2'!I64</f>
        <v>0</v>
      </c>
      <c r="Q68" s="55" t="str">
        <f t="shared" ca="1" si="16"/>
        <v>-</v>
      </c>
      <c r="R68" s="73"/>
      <c r="S68" s="422">
        <f ca="1">'A2'!J66</f>
        <v>0</v>
      </c>
    </row>
    <row r="69" spans="2:19" ht="16.5" hidden="1" customHeight="1">
      <c r="B69" s="206" t="str">
        <f t="shared" ca="1" si="11"/>
        <v>Program 12</v>
      </c>
      <c r="C69" s="22"/>
      <c r="D69" s="56" t="str">
        <f>IF(ISERROR(E69/'A2'!C65),"-",(E69/'A2'!C65))</f>
        <v>-</v>
      </c>
      <c r="E69" s="64">
        <f>'A2'!D65</f>
        <v>0</v>
      </c>
      <c r="F69" s="64">
        <f>'A2'!E65</f>
        <v>0</v>
      </c>
      <c r="G69" s="55" t="str">
        <f t="shared" si="12"/>
        <v>-</v>
      </c>
      <c r="H69" s="217"/>
      <c r="I69" s="56" t="str">
        <f t="shared" si="13"/>
        <v>-</v>
      </c>
      <c r="J69" s="64">
        <f>'A2'!F65</f>
        <v>0</v>
      </c>
      <c r="K69" s="64">
        <f>'A2'!G65</f>
        <v>0</v>
      </c>
      <c r="L69" s="55" t="str">
        <f t="shared" si="14"/>
        <v>-</v>
      </c>
      <c r="M69" s="218"/>
      <c r="N69" s="56" t="str">
        <f t="shared" ca="1" si="15"/>
        <v>-</v>
      </c>
      <c r="O69" s="64">
        <f ca="1">'A2'!H65</f>
        <v>0</v>
      </c>
      <c r="P69" s="64">
        <f ca="1">'A2'!I65</f>
        <v>0</v>
      </c>
      <c r="Q69" s="55" t="str">
        <f t="shared" ca="1" si="16"/>
        <v>-</v>
      </c>
      <c r="R69" s="73"/>
      <c r="S69" s="422">
        <f ca="1">'A2'!J67</f>
        <v>0</v>
      </c>
    </row>
    <row r="70" spans="2:19" ht="16.5" hidden="1" customHeight="1">
      <c r="B70" s="206" t="str">
        <f t="shared" ca="1" si="11"/>
        <v>Program 13</v>
      </c>
      <c r="C70" s="22"/>
      <c r="D70" s="56" t="str">
        <f>IF(ISERROR(E70/'A2'!C66),"-",(E70/'A2'!C66))</f>
        <v>-</v>
      </c>
      <c r="E70" s="64">
        <f>'A2'!D66</f>
        <v>0</v>
      </c>
      <c r="F70" s="64">
        <f>'A2'!E66</f>
        <v>0</v>
      </c>
      <c r="G70" s="55" t="str">
        <f t="shared" si="12"/>
        <v>-</v>
      </c>
      <c r="H70" s="217"/>
      <c r="I70" s="56" t="str">
        <f t="shared" si="13"/>
        <v>-</v>
      </c>
      <c r="J70" s="64">
        <f>'A2'!F66</f>
        <v>0</v>
      </c>
      <c r="K70" s="64">
        <f>'A2'!G66</f>
        <v>0</v>
      </c>
      <c r="L70" s="55" t="str">
        <f t="shared" si="14"/>
        <v>-</v>
      </c>
      <c r="M70" s="218"/>
      <c r="N70" s="56" t="str">
        <f t="shared" ca="1" si="15"/>
        <v>-</v>
      </c>
      <c r="O70" s="64">
        <f ca="1">'A2'!H66</f>
        <v>0</v>
      </c>
      <c r="P70" s="64">
        <f ca="1">'A2'!I66</f>
        <v>0</v>
      </c>
      <c r="Q70" s="55" t="str">
        <f t="shared" ca="1" si="16"/>
        <v>-</v>
      </c>
      <c r="R70" s="73"/>
      <c r="S70" s="422">
        <f ca="1">'A2'!J68</f>
        <v>0</v>
      </c>
    </row>
    <row r="71" spans="2:19" ht="16.5" hidden="1" customHeight="1">
      <c r="B71" s="206" t="str">
        <f t="shared" ca="1" si="11"/>
        <v>Program 14</v>
      </c>
      <c r="C71" s="22"/>
      <c r="D71" s="56" t="str">
        <f>IF(ISERROR(E71/'A2'!C67),"-",(E71/'A2'!C67))</f>
        <v>-</v>
      </c>
      <c r="E71" s="64">
        <f>'A2'!D67</f>
        <v>0</v>
      </c>
      <c r="F71" s="64">
        <f>'A2'!E67</f>
        <v>0</v>
      </c>
      <c r="G71" s="55" t="str">
        <f t="shared" si="12"/>
        <v>-</v>
      </c>
      <c r="H71" s="217"/>
      <c r="I71" s="56" t="str">
        <f t="shared" si="13"/>
        <v>-</v>
      </c>
      <c r="J71" s="64">
        <f>'A2'!F67</f>
        <v>0</v>
      </c>
      <c r="K71" s="64">
        <f>'A2'!G67</f>
        <v>0</v>
      </c>
      <c r="L71" s="55" t="str">
        <f t="shared" si="14"/>
        <v>-</v>
      </c>
      <c r="M71" s="218"/>
      <c r="N71" s="56" t="str">
        <f t="shared" ca="1" si="15"/>
        <v>-</v>
      </c>
      <c r="O71" s="64">
        <f ca="1">'A2'!H67</f>
        <v>0</v>
      </c>
      <c r="P71" s="64">
        <f ca="1">'A2'!I67</f>
        <v>0</v>
      </c>
      <c r="Q71" s="55" t="str">
        <f t="shared" ca="1" si="16"/>
        <v>-</v>
      </c>
      <c r="R71" s="73"/>
      <c r="S71" s="422">
        <f ca="1">'A2'!J69</f>
        <v>531</v>
      </c>
    </row>
    <row r="72" spans="2:19" ht="16.5" hidden="1" customHeight="1" thickBot="1">
      <c r="B72" s="207" t="str">
        <f t="shared" ca="1" si="11"/>
        <v>Program 15</v>
      </c>
      <c r="C72" s="22"/>
      <c r="D72" s="527" t="str">
        <f>IF(ISERROR(E72/'A2'!C68),"-",(E72/'A2'!C68))</f>
        <v>-</v>
      </c>
      <c r="E72" s="536">
        <f>'A2'!D68</f>
        <v>0</v>
      </c>
      <c r="F72" s="536">
        <f>'A2'!E68</f>
        <v>0</v>
      </c>
      <c r="G72" s="529" t="str">
        <f t="shared" si="12"/>
        <v>-</v>
      </c>
      <c r="H72" s="217"/>
      <c r="I72" s="527" t="str">
        <f t="shared" si="13"/>
        <v>-</v>
      </c>
      <c r="J72" s="536">
        <f>'A2'!F68</f>
        <v>0</v>
      </c>
      <c r="K72" s="536">
        <f>'A2'!G68</f>
        <v>0</v>
      </c>
      <c r="L72" s="529" t="str">
        <f t="shared" si="14"/>
        <v>-</v>
      </c>
      <c r="M72" s="218"/>
      <c r="N72" s="527" t="str">
        <f t="shared" ca="1" si="15"/>
        <v>-</v>
      </c>
      <c r="O72" s="536">
        <f ca="1">'A2'!H68</f>
        <v>0</v>
      </c>
      <c r="P72" s="536">
        <f ca="1">'A2'!I68</f>
        <v>0</v>
      </c>
      <c r="Q72" s="529" t="str">
        <f t="shared" ca="1" si="16"/>
        <v>-</v>
      </c>
      <c r="R72" s="73"/>
      <c r="S72" s="537">
        <f>'A2'!J70</f>
        <v>0</v>
      </c>
    </row>
    <row r="73" spans="2:19" ht="16.5" customHeight="1" thickBot="1">
      <c r="B73" s="288" t="s">
        <v>30</v>
      </c>
      <c r="C73" s="209"/>
      <c r="D73" s="533" t="str">
        <f>IF(ISERROR(E73/'A2'!C69),"-",(E73/'A2'!C69))</f>
        <v>-</v>
      </c>
      <c r="E73" s="539">
        <f>SUM(E58:E72)</f>
        <v>1012.39</v>
      </c>
      <c r="F73" s="539">
        <f>SUM(F58:F72)</f>
        <v>665.94999999999993</v>
      </c>
      <c r="G73" s="525">
        <f t="shared" si="12"/>
        <v>0.65779985973784805</v>
      </c>
      <c r="H73" s="219"/>
      <c r="I73" s="533">
        <f t="shared" si="13"/>
        <v>2</v>
      </c>
      <c r="J73" s="539">
        <f>SUM(J58:J72)</f>
        <v>2024.78</v>
      </c>
      <c r="K73" s="539">
        <f>SUM(K58:K72)</f>
        <v>921.28</v>
      </c>
      <c r="L73" s="525">
        <f t="shared" si="14"/>
        <v>0.45500251879216508</v>
      </c>
      <c r="M73" s="220"/>
      <c r="N73" s="533">
        <f t="shared" ca="1" si="15"/>
        <v>0.47906439218087893</v>
      </c>
      <c r="O73" s="539">
        <f ca="1">SUM(O58:O72)</f>
        <v>970</v>
      </c>
      <c r="P73" s="539">
        <f ca="1">SUM(P58:P72)</f>
        <v>1330.1746910774657</v>
      </c>
      <c r="Q73" s="525">
        <f t="shared" ca="1" si="16"/>
        <v>1.3713141145128511</v>
      </c>
      <c r="R73" s="413"/>
      <c r="S73" s="540">
        <f ca="1">SUM(S58:S72)</f>
        <v>752</v>
      </c>
    </row>
    <row r="74" spans="2:19" ht="16.5" customHeight="1">
      <c r="B74" s="13"/>
      <c r="C74" s="13"/>
      <c r="D74" s="13"/>
      <c r="E74" s="13"/>
      <c r="F74" s="13"/>
      <c r="G74" s="13"/>
      <c r="H74" s="13"/>
      <c r="I74" s="13"/>
      <c r="J74" s="13"/>
      <c r="K74" s="13"/>
      <c r="L74" s="13"/>
      <c r="M74" s="13"/>
      <c r="N74" s="13"/>
      <c r="O74" s="13"/>
      <c r="P74" s="13"/>
      <c r="Q74" s="13"/>
    </row>
  </sheetData>
  <mergeCells count="28">
    <mergeCell ref="B1:S1"/>
    <mergeCell ref="B2:S2"/>
    <mergeCell ref="B3:S3"/>
    <mergeCell ref="B5:S5"/>
    <mergeCell ref="B30:S30"/>
    <mergeCell ref="D7:G7"/>
    <mergeCell ref="I7:L7"/>
    <mergeCell ref="N7:Q7"/>
    <mergeCell ref="S33:S34"/>
    <mergeCell ref="S55:S56"/>
    <mergeCell ref="O34:P34"/>
    <mergeCell ref="E56:F56"/>
    <mergeCell ref="J56:K56"/>
    <mergeCell ref="O56:P56"/>
    <mergeCell ref="D54:G54"/>
    <mergeCell ref="I54:L54"/>
    <mergeCell ref="N54:Q54"/>
    <mergeCell ref="D55:G55"/>
    <mergeCell ref="I55:L55"/>
    <mergeCell ref="N55:Q55"/>
    <mergeCell ref="E34:F34"/>
    <mergeCell ref="J34:K34"/>
    <mergeCell ref="D32:G32"/>
    <mergeCell ref="I32:L32"/>
    <mergeCell ref="N32:Q32"/>
    <mergeCell ref="D33:G33"/>
    <mergeCell ref="I33:L33"/>
    <mergeCell ref="N33:Q33"/>
  </mergeCells>
  <phoneticPr fontId="19" type="noConversion"/>
  <pageMargins left="0.75" right="0.75" top="0.75" bottom="0.75" header="0.5" footer="0.5"/>
  <pageSetup scale="61" orientation="portrait" r:id="rId1"/>
  <headerFooter alignWithMargins="0">
    <oddFooter>&amp;L&amp;A&amp;C&amp;P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50"/>
  </sheetPr>
  <dimension ref="B1:T380"/>
  <sheetViews>
    <sheetView topLeftCell="A2" zoomScale="120" zoomScaleNormal="120" workbookViewId="0">
      <selection activeCell="B181" sqref="B181:P203"/>
    </sheetView>
  </sheetViews>
  <sheetFormatPr defaultRowHeight="15" customHeight="1"/>
  <cols>
    <col min="1" max="1" width="0.85546875" style="13" customWidth="1"/>
    <col min="2" max="2" width="15.7109375" style="13" bestFit="1" customWidth="1"/>
    <col min="3" max="3" width="11.28515625" style="13" bestFit="1" customWidth="1"/>
    <col min="4" max="4" width="7.42578125" style="13" customWidth="1"/>
    <col min="5" max="5" width="0.85546875" style="13" customWidth="1"/>
    <col min="6" max="6" width="10.7109375" style="13" customWidth="1"/>
    <col min="7" max="7" width="11.28515625" style="13" bestFit="1" customWidth="1"/>
    <col min="8" max="8" width="10.7109375" style="13" customWidth="1"/>
    <col min="9" max="9" width="11.28515625" style="13" bestFit="1" customWidth="1"/>
    <col min="10" max="10" width="10.42578125" style="13" customWidth="1"/>
    <col min="11" max="11" width="10.28515625" style="13" customWidth="1"/>
    <col min="12" max="12" width="0.85546875" style="13" customWidth="1"/>
    <col min="13" max="15" width="10.7109375" style="13" customWidth="1"/>
    <col min="16" max="16" width="7.42578125" style="13" customWidth="1"/>
    <col min="17" max="17" width="2.7109375" style="76" hidden="1" customWidth="1"/>
    <col min="18" max="18" width="4.28515625" style="13" customWidth="1"/>
    <col min="19" max="19" width="11.140625" style="13" customWidth="1"/>
    <col min="20" max="20" width="4.5703125" style="76" customWidth="1"/>
    <col min="21" max="16384" width="9.140625" style="13"/>
  </cols>
  <sheetData>
    <row r="1" spans="2:20" ht="23.25">
      <c r="B1" s="931" t="str">
        <f>'A1'!C4</f>
        <v>Oklahoma Gas &amp; Electric Company</v>
      </c>
      <c r="C1" s="932"/>
      <c r="D1" s="932"/>
      <c r="E1" s="932"/>
      <c r="F1" s="932"/>
      <c r="G1" s="932"/>
      <c r="H1" s="932"/>
      <c r="I1" s="932"/>
      <c r="J1" s="932"/>
      <c r="K1" s="932"/>
      <c r="L1" s="932"/>
      <c r="M1" s="932"/>
      <c r="N1" s="932"/>
      <c r="O1" s="932"/>
      <c r="P1" s="933"/>
    </row>
    <row r="2" spans="2:20" ht="23.25">
      <c r="B2" s="934" t="str">
        <f>'A1'!C5</f>
        <v>07-075-TF</v>
      </c>
      <c r="C2" s="866"/>
      <c r="D2" s="866"/>
      <c r="E2" s="866"/>
      <c r="F2" s="866"/>
      <c r="G2" s="866"/>
      <c r="H2" s="866"/>
      <c r="I2" s="866"/>
      <c r="J2" s="866"/>
      <c r="K2" s="866"/>
      <c r="L2" s="866"/>
      <c r="M2" s="866"/>
      <c r="N2" s="866"/>
      <c r="O2" s="866"/>
      <c r="P2" s="935"/>
    </row>
    <row r="3" spans="2:20" s="196" customFormat="1" ht="23.25" customHeight="1" thickBot="1">
      <c r="B3" s="923" t="s">
        <v>139</v>
      </c>
      <c r="C3" s="924"/>
      <c r="D3" s="924"/>
      <c r="E3" s="924"/>
      <c r="F3" s="924"/>
      <c r="G3" s="924"/>
      <c r="H3" s="924"/>
      <c r="I3" s="924"/>
      <c r="J3" s="924"/>
      <c r="K3" s="924"/>
      <c r="L3" s="924"/>
      <c r="M3" s="924"/>
      <c r="N3" s="924"/>
      <c r="O3" s="924"/>
      <c r="P3" s="925"/>
      <c r="Q3" s="195"/>
      <c r="S3" s="197"/>
      <c r="T3" s="195"/>
    </row>
    <row r="4" spans="2:20" ht="15" customHeight="1">
      <c r="B4" s="926" t="str">
        <f>"Jan "&amp;B8&amp;" Through Dec "&amp;B18</f>
        <v>Jan 2008 Through Dec 2010</v>
      </c>
      <c r="C4" s="926"/>
      <c r="D4" s="926"/>
      <c r="E4" s="926"/>
      <c r="F4" s="926"/>
      <c r="G4" s="926"/>
      <c r="H4" s="926"/>
      <c r="I4" s="926"/>
      <c r="J4" s="926"/>
      <c r="K4" s="926"/>
      <c r="L4" s="926"/>
      <c r="M4" s="926"/>
      <c r="N4" s="926"/>
      <c r="O4" s="926"/>
      <c r="P4" s="926"/>
    </row>
    <row r="5" spans="2:20" ht="15" customHeight="1" thickBot="1">
      <c r="B5" s="9"/>
      <c r="C5" s="9"/>
      <c r="D5" s="9"/>
      <c r="E5" s="92"/>
      <c r="F5" s="9"/>
      <c r="G5" s="9"/>
      <c r="H5" s="9"/>
      <c r="I5" s="9"/>
      <c r="J5" s="9"/>
      <c r="K5" s="9"/>
      <c r="L5" s="92"/>
      <c r="M5" s="9"/>
      <c r="N5" s="9"/>
      <c r="O5" s="9"/>
      <c r="P5" s="93"/>
    </row>
    <row r="6" spans="2:20" ht="15" customHeight="1">
      <c r="B6" s="927" t="str">
        <f ca="1">'A2'!A9</f>
        <v>Weatherization</v>
      </c>
      <c r="C6" s="873"/>
      <c r="D6" s="873"/>
      <c r="E6" s="873"/>
      <c r="F6" s="873"/>
      <c r="G6" s="873"/>
      <c r="H6" s="873"/>
      <c r="I6" s="873"/>
      <c r="J6" s="873"/>
      <c r="K6" s="873"/>
      <c r="L6" s="873"/>
      <c r="M6" s="873"/>
      <c r="N6" s="873"/>
      <c r="O6" s="873"/>
      <c r="P6" s="875"/>
      <c r="Q6" s="76">
        <v>1</v>
      </c>
    </row>
    <row r="7" spans="2:20" ht="15" customHeight="1">
      <c r="B7" s="459"/>
      <c r="C7" s="94"/>
      <c r="D7" s="94"/>
      <c r="E7" s="95"/>
      <c r="F7" s="94"/>
      <c r="G7" s="94"/>
      <c r="H7" s="94"/>
      <c r="I7" s="94"/>
      <c r="J7" s="94"/>
      <c r="K7" s="94"/>
      <c r="L7" s="95"/>
      <c r="M7" s="94"/>
      <c r="N7" s="23"/>
      <c r="O7" s="23"/>
      <c r="P7" s="460"/>
    </row>
    <row r="8" spans="2:20" ht="15" customHeight="1">
      <c r="B8" s="928">
        <f>B13-1</f>
        <v>2008</v>
      </c>
      <c r="C8" s="914"/>
      <c r="D8" s="96"/>
      <c r="E8" s="77"/>
      <c r="F8" s="907" t="s">
        <v>77</v>
      </c>
      <c r="G8" s="909"/>
      <c r="H8" s="907" t="s">
        <v>75</v>
      </c>
      <c r="I8" s="909"/>
      <c r="J8" s="907" t="s">
        <v>78</v>
      </c>
      <c r="K8" s="909"/>
      <c r="L8" s="77"/>
      <c r="M8" s="907">
        <f>B8</f>
        <v>2008</v>
      </c>
      <c r="N8" s="908"/>
      <c r="O8" s="909"/>
      <c r="P8" s="461"/>
    </row>
    <row r="9" spans="2:20" ht="15" customHeight="1">
      <c r="B9" s="462" t="s">
        <v>76</v>
      </c>
      <c r="C9" s="97" t="s">
        <v>24</v>
      </c>
      <c r="D9" s="98" t="s">
        <v>25</v>
      </c>
      <c r="E9" s="97"/>
      <c r="F9" s="447" t="s">
        <v>223</v>
      </c>
      <c r="G9" s="448" t="s">
        <v>221</v>
      </c>
      <c r="H9" s="447" t="s">
        <v>223</v>
      </c>
      <c r="I9" s="448" t="s">
        <v>221</v>
      </c>
      <c r="J9" s="447" t="s">
        <v>223</v>
      </c>
      <c r="K9" s="448" t="s">
        <v>221</v>
      </c>
      <c r="L9" s="77"/>
      <c r="M9" s="920" t="s">
        <v>96</v>
      </c>
      <c r="N9" s="921"/>
      <c r="O9" s="922"/>
      <c r="P9" s="463" t="s">
        <v>25</v>
      </c>
    </row>
    <row r="10" spans="2:20" ht="15" customHeight="1">
      <c r="B10" s="464" t="s">
        <v>12</v>
      </c>
      <c r="C10" s="160" t="s">
        <v>79</v>
      </c>
      <c r="D10" s="161" t="s">
        <v>12</v>
      </c>
      <c r="E10" s="97"/>
      <c r="F10" s="546" t="str">
        <f>VLOOKUP('A1'!$I$4,'Pull-down list'!D2:F3,3)&amp;"*Yrs"</f>
        <v>kW*Yrs</v>
      </c>
      <c r="G10" s="99" t="str">
        <f>VLOOKUP('A1'!$I$4,'Pull-down list'!D2:F3,2)</f>
        <v>kWh</v>
      </c>
      <c r="H10" s="546" t="str">
        <f>$F$10</f>
        <v>kW*Yrs</v>
      </c>
      <c r="I10" s="99" t="str">
        <f>VLOOKUP('A1'!$I$4,'Pull-down list'!D2:F3,2)</f>
        <v>kWh</v>
      </c>
      <c r="J10" s="547" t="str">
        <f>$F$10</f>
        <v>kW*Yrs</v>
      </c>
      <c r="K10" s="102" t="str">
        <f>VLOOKUP('A1'!$I$4,'Pull-down list'!D2:F3,2)</f>
        <v>kWh</v>
      </c>
      <c r="L10" s="103"/>
      <c r="M10" s="162" t="s">
        <v>53</v>
      </c>
      <c r="N10" s="163" t="s">
        <v>24</v>
      </c>
      <c r="O10" s="163" t="s">
        <v>83</v>
      </c>
      <c r="P10" s="465" t="s">
        <v>29</v>
      </c>
    </row>
    <row r="11" spans="2:20" ht="15" customHeight="1">
      <c r="B11" s="466">
        <f ca="1">INDIRECT("A2!"&amp;"D"&amp;VLOOKUP("Budget",'A2'!$M$3:$N$6,2,FALSE)+Q6)</f>
        <v>137410</v>
      </c>
      <c r="C11" s="164">
        <f ca="1">INDIRECT("A2!"&amp;"E"&amp;VLOOKUP("Budget",'A2'!$M$3:$N$6,2,FALSE)+Q6)</f>
        <v>48157</v>
      </c>
      <c r="D11" s="165">
        <f ca="1">IF(ISERROR(C11/B11),"-",(C11/B11))</f>
        <v>0.35046212066079618</v>
      </c>
      <c r="E11" s="166"/>
      <c r="F11" s="167">
        <f ca="1">INDIRECT("A2!"&amp;"D"&amp;VLOOKUP("Demand",'A2'!$M$3:$N$6,2,FALSE)+Q6)</f>
        <v>89.07</v>
      </c>
      <c r="G11" s="168">
        <f ca="1">INDIRECT("A2!"&amp;"D"&amp;VLOOKUP("Energy",'A2'!$M$3:$N$6,2,FALSE)+Q6)</f>
        <v>2322970</v>
      </c>
      <c r="H11" s="167">
        <f ca="1">INDIRECT("A2!"&amp;"E"&amp;VLOOKUP("Demand",'A2'!$M$3:$N$6,2,FALSE)+Q6)</f>
        <v>41.23</v>
      </c>
      <c r="I11" s="168">
        <f ca="1">INDIRECT("A2!"&amp;"E"&amp;VLOOKUP("Energy",'A2'!$M$3:$N$6,2,FALSE)+Q6)</f>
        <v>1476000</v>
      </c>
      <c r="J11" s="169">
        <f ca="1">IF(ISERROR(H11/F11),"-",(H11/F11))</f>
        <v>0.46289435275625912</v>
      </c>
      <c r="K11" s="170">
        <f ca="1">IF(ISERROR(I11/G11),"-",(I11/G11))</f>
        <v>0.63539348334244528</v>
      </c>
      <c r="L11" s="171"/>
      <c r="M11" s="172">
        <f ca="1">INDIRECT("A2!"&amp;"C"&amp;VLOOKUP("Participant",'A2'!$M$3:$N$6,2,FALSE)+Q6)</f>
        <v>59</v>
      </c>
      <c r="N11" s="172">
        <f ca="1">INDIRECT("A2!"&amp;"D"&amp;VLOOKUP("Participant",'A2'!$M$3:$N$6,2,FALSE)+Q6)</f>
        <v>31</v>
      </c>
      <c r="O11" s="172">
        <f ca="1">INDIRECT("A2!"&amp;"E"&amp;VLOOKUP("Participant",'A2'!$M$3:$N$6,2,FALSE)+Q6)</f>
        <v>0</v>
      </c>
      <c r="P11" s="467">
        <f ca="1">IF(ISERROR(N11/M11),"-",(N11/M11))</f>
        <v>0.52542372881355937</v>
      </c>
    </row>
    <row r="12" spans="2:20" ht="15" customHeight="1">
      <c r="B12" s="459"/>
      <c r="C12" s="94"/>
      <c r="D12" s="94"/>
      <c r="E12" s="37"/>
      <c r="F12" s="94"/>
      <c r="G12" s="94"/>
      <c r="H12" s="94"/>
      <c r="I12" s="94"/>
      <c r="J12" s="94"/>
      <c r="K12" s="94"/>
      <c r="L12" s="37"/>
      <c r="M12" s="94"/>
      <c r="N12" s="23"/>
      <c r="O12" s="23"/>
      <c r="P12" s="460"/>
    </row>
    <row r="13" spans="2:20" ht="15" customHeight="1">
      <c r="B13" s="928">
        <f>B18-1</f>
        <v>2009</v>
      </c>
      <c r="C13" s="914"/>
      <c r="D13" s="96"/>
      <c r="E13" s="77"/>
      <c r="F13" s="907" t="s">
        <v>77</v>
      </c>
      <c r="G13" s="909"/>
      <c r="H13" s="907" t="s">
        <v>75</v>
      </c>
      <c r="I13" s="909"/>
      <c r="J13" s="907" t="s">
        <v>78</v>
      </c>
      <c r="K13" s="909"/>
      <c r="L13" s="77"/>
      <c r="M13" s="907">
        <f>B13</f>
        <v>2009</v>
      </c>
      <c r="N13" s="908"/>
      <c r="O13" s="909"/>
      <c r="P13" s="461"/>
    </row>
    <row r="14" spans="2:20" ht="15" customHeight="1">
      <c r="B14" s="462" t="s">
        <v>76</v>
      </c>
      <c r="C14" s="97" t="s">
        <v>24</v>
      </c>
      <c r="D14" s="98" t="s">
        <v>25</v>
      </c>
      <c r="E14" s="97"/>
      <c r="F14" s="447" t="s">
        <v>223</v>
      </c>
      <c r="G14" s="448" t="s">
        <v>221</v>
      </c>
      <c r="H14" s="447" t="s">
        <v>223</v>
      </c>
      <c r="I14" s="448" t="s">
        <v>221</v>
      </c>
      <c r="J14" s="447" t="s">
        <v>223</v>
      </c>
      <c r="K14" s="448" t="s">
        <v>221</v>
      </c>
      <c r="L14" s="77"/>
      <c r="M14" s="920" t="s">
        <v>96</v>
      </c>
      <c r="N14" s="921"/>
      <c r="O14" s="922"/>
      <c r="P14" s="463" t="s">
        <v>25</v>
      </c>
    </row>
    <row r="15" spans="2:20" ht="15" customHeight="1">
      <c r="B15" s="464" t="s">
        <v>12</v>
      </c>
      <c r="C15" s="160" t="s">
        <v>79</v>
      </c>
      <c r="D15" s="161" t="s">
        <v>12</v>
      </c>
      <c r="E15" s="97"/>
      <c r="F15" s="100" t="str">
        <f>$F$10</f>
        <v>kW*Yrs</v>
      </c>
      <c r="G15" s="99" t="str">
        <f>$G$10</f>
        <v>kWh</v>
      </c>
      <c r="H15" s="100" t="str">
        <f>$H$10</f>
        <v>kW*Yrs</v>
      </c>
      <c r="I15" s="99" t="str">
        <f>$I$10</f>
        <v>kWh</v>
      </c>
      <c r="J15" s="101" t="str">
        <f>$J$10</f>
        <v>kW*Yrs</v>
      </c>
      <c r="K15" s="102" t="str">
        <f>$K$10</f>
        <v>kWh</v>
      </c>
      <c r="L15" s="103"/>
      <c r="M15" s="162" t="s">
        <v>53</v>
      </c>
      <c r="N15" s="163" t="s">
        <v>24</v>
      </c>
      <c r="O15" s="163" t="s">
        <v>83</v>
      </c>
      <c r="P15" s="465" t="s">
        <v>29</v>
      </c>
    </row>
    <row r="16" spans="2:20" ht="15" customHeight="1">
      <c r="B16" s="466">
        <f ca="1">INDIRECT("A2!"&amp;"F"&amp;VLOOKUP("Budget",'A2'!$M$3:$N$6,2,FALSE)+Q6)</f>
        <v>137410</v>
      </c>
      <c r="C16" s="164">
        <f ca="1">INDIRECT("A2!"&amp;"G"&amp;VLOOKUP("Budget",'A2'!$M$3:$N$6,2,FALSE)+Q6)</f>
        <v>117776</v>
      </c>
      <c r="D16" s="165">
        <f ca="1">IF(ISERROR(C16/B16),"-",(C16/B16))</f>
        <v>0.85711374717997235</v>
      </c>
      <c r="E16" s="166"/>
      <c r="F16" s="167">
        <f ca="1">INDIRECT("A2!"&amp;"F"&amp;VLOOKUP("Demand",'A2'!$M$3:$N$6,2,FALSE)+Q6)</f>
        <v>178.13</v>
      </c>
      <c r="G16" s="168">
        <f ca="1">INDIRECT("A2!"&amp;"F"&amp;VLOOKUP("Energy",'A2'!$M$3:$N$6,2,FALSE)+Q6)</f>
        <v>4645930</v>
      </c>
      <c r="H16" s="167">
        <f ca="1">INDIRECT("A2!"&amp;"G"&amp;VLOOKUP("Demand",'A2'!$M$3:$N$6,2,FALSE)+Q6)</f>
        <v>66.5</v>
      </c>
      <c r="I16" s="168">
        <f ca="1">INDIRECT("A2!"&amp;"G"&amp;VLOOKUP("Energy",'A2'!$M$3:$N$6,2,FALSE)+Q6)</f>
        <v>1845000</v>
      </c>
      <c r="J16" s="169">
        <f ca="1">IF(ISERROR(H16/F16),"-",(H16/F16))</f>
        <v>0.37332285409532368</v>
      </c>
      <c r="K16" s="170">
        <f ca="1">IF(ISERROR(I16/G16),"-",(I16/G16))</f>
        <v>0.39712178186068237</v>
      </c>
      <c r="L16" s="171"/>
      <c r="M16" s="172">
        <f ca="1">INDIRECT("A2!"&amp;"F"&amp;VLOOKUP("Participant",'A2'!$M$3:$N$6,2,FALSE)+Q6)</f>
        <v>29</v>
      </c>
      <c r="N16" s="172">
        <f ca="1">INDIRECT("A2!"&amp;"G"&amp;VLOOKUP("Participant",'A2'!$M$3:$N$6,2,FALSE)+Q6)</f>
        <v>50</v>
      </c>
      <c r="O16" s="172">
        <f ca="1">INDIRECT("A2!"&amp;"H"&amp;VLOOKUP("Participant",'A2'!$M$3:$N$6,2,FALSE)+Q6)</f>
        <v>0</v>
      </c>
      <c r="P16" s="467">
        <f ca="1">IF(ISERROR(N16/M16),"-",(N16/M16))</f>
        <v>1.7241379310344827</v>
      </c>
    </row>
    <row r="17" spans="2:17" ht="15" customHeight="1">
      <c r="B17" s="468"/>
      <c r="C17" s="37"/>
      <c r="D17" s="37"/>
      <c r="E17" s="37"/>
      <c r="F17" s="37"/>
      <c r="G17" s="37"/>
      <c r="H17" s="37"/>
      <c r="I17" s="37"/>
      <c r="J17" s="37"/>
      <c r="K17" s="37"/>
      <c r="L17" s="37"/>
      <c r="M17" s="37"/>
      <c r="N17" s="77"/>
      <c r="O17" s="77"/>
      <c r="P17" s="469"/>
    </row>
    <row r="18" spans="2:17" ht="15" customHeight="1">
      <c r="B18" s="928">
        <f>'A1'!C3</f>
        <v>2010</v>
      </c>
      <c r="C18" s="914"/>
      <c r="D18" s="96"/>
      <c r="E18" s="77"/>
      <c r="F18" s="907" t="s">
        <v>77</v>
      </c>
      <c r="G18" s="909"/>
      <c r="H18" s="907" t="s">
        <v>75</v>
      </c>
      <c r="I18" s="909"/>
      <c r="J18" s="907" t="s">
        <v>78</v>
      </c>
      <c r="K18" s="909"/>
      <c r="L18" s="77"/>
      <c r="M18" s="907">
        <f>B18</f>
        <v>2010</v>
      </c>
      <c r="N18" s="908"/>
      <c r="O18" s="909"/>
      <c r="P18" s="461"/>
    </row>
    <row r="19" spans="2:17" ht="15" customHeight="1">
      <c r="B19" s="462" t="s">
        <v>76</v>
      </c>
      <c r="C19" s="97" t="s">
        <v>24</v>
      </c>
      <c r="D19" s="98" t="s">
        <v>25</v>
      </c>
      <c r="E19" s="97"/>
      <c r="F19" s="447" t="s">
        <v>223</v>
      </c>
      <c r="G19" s="448" t="s">
        <v>221</v>
      </c>
      <c r="H19" s="447" t="s">
        <v>223</v>
      </c>
      <c r="I19" s="448" t="s">
        <v>221</v>
      </c>
      <c r="J19" s="447" t="s">
        <v>223</v>
      </c>
      <c r="K19" s="448" t="s">
        <v>221</v>
      </c>
      <c r="L19" s="77"/>
      <c r="M19" s="920" t="s">
        <v>96</v>
      </c>
      <c r="N19" s="921"/>
      <c r="O19" s="922"/>
      <c r="P19" s="463" t="s">
        <v>25</v>
      </c>
    </row>
    <row r="20" spans="2:17" ht="15" customHeight="1">
      <c r="B20" s="464" t="s">
        <v>12</v>
      </c>
      <c r="C20" s="160" t="s">
        <v>79</v>
      </c>
      <c r="D20" s="161" t="s">
        <v>12</v>
      </c>
      <c r="E20" s="97"/>
      <c r="F20" s="100" t="str">
        <f>$F$10</f>
        <v>kW*Yrs</v>
      </c>
      <c r="G20" s="99" t="str">
        <f>$G$10</f>
        <v>kWh</v>
      </c>
      <c r="H20" s="100" t="str">
        <f>$H$10</f>
        <v>kW*Yrs</v>
      </c>
      <c r="I20" s="99" t="str">
        <f>$I$10</f>
        <v>kWh</v>
      </c>
      <c r="J20" s="101" t="str">
        <f>$J$10</f>
        <v>kW*Yrs</v>
      </c>
      <c r="K20" s="102" t="str">
        <f>$K$10</f>
        <v>kWh</v>
      </c>
      <c r="L20" s="103"/>
      <c r="M20" s="162" t="s">
        <v>53</v>
      </c>
      <c r="N20" s="163" t="s">
        <v>24</v>
      </c>
      <c r="O20" s="163" t="s">
        <v>83</v>
      </c>
      <c r="P20" s="465" t="s">
        <v>29</v>
      </c>
    </row>
    <row r="21" spans="2:17" ht="15" customHeight="1">
      <c r="B21" s="466">
        <f ca="1">INDIRECT("A2!"&amp;"H"&amp;VLOOKUP("Budget",'A2'!$M$3:$N$6,2,FALSE)+Q6)</f>
        <v>1129500</v>
      </c>
      <c r="C21" s="164">
        <f ca="1">INDIRECT("A2!"&amp;"I"&amp;VLOOKUP("Budget",'A2'!$M$3:$N$6,2,FALSE)+Q6)</f>
        <v>1103808.42</v>
      </c>
      <c r="D21" s="165">
        <f ca="1">IF(ISERROR(C21/B21),"-",(C21/B21))</f>
        <v>0.97725402390438243</v>
      </c>
      <c r="E21" s="166"/>
      <c r="F21" s="167">
        <f ca="1">INDIRECT("A2!"&amp;"H"&amp;VLOOKUP("Demand",'A2'!$M$3:$N$6,2,FALSE)+Q6)</f>
        <v>611</v>
      </c>
      <c r="G21" s="168">
        <f ca="1">INDIRECT("A2!"&amp;"H"&amp;VLOOKUP("Energy",'A2'!$M$3:$N$6,2,FALSE)+Q6)</f>
        <v>20207010.300000001</v>
      </c>
      <c r="H21" s="167">
        <f ca="1">INDIRECT("A2!"&amp;"I"&amp;VLOOKUP("Demand",'A2'!$M$3:$N$6,2,FALSE)+Q6)</f>
        <v>782.18100000000004</v>
      </c>
      <c r="I21" s="168">
        <f ca="1">INDIRECT("A2!"&amp;"I"&amp;VLOOKUP("Energy",'A2'!$M$3:$N$6,2,FALSE)+Q6)</f>
        <v>25934298</v>
      </c>
      <c r="J21" s="169">
        <f ca="1">IF(ISERROR(H21/F21),"-",(H21/F21))</f>
        <v>1.2801653027823241</v>
      </c>
      <c r="K21" s="170">
        <f ca="1">IF(ISERROR(I21/G21),"-",(I21/G21))</f>
        <v>1.2834307309676583</v>
      </c>
      <c r="L21" s="171"/>
      <c r="M21" s="172">
        <f ca="1">INDIRECT("A2!"&amp;"I"&amp;VLOOKUP("Participant",'A2'!$M$3:$N$6,2,FALSE)+Q6)</f>
        <v>500</v>
      </c>
      <c r="N21" s="172">
        <f ca="1">INDIRECT("A2!"&amp;"J"&amp;VLOOKUP("Participant",'A2'!$M$3:$N$6,2,FALSE)+Q6)</f>
        <v>699</v>
      </c>
      <c r="O21" s="172">
        <f ca="1">INDIRECT("A2!"&amp;"K"&amp;VLOOKUP("Participant",'A2'!$M$3:$N$6,2,FALSE)+Q6)</f>
        <v>0</v>
      </c>
      <c r="P21" s="467">
        <f ca="1">IF(ISERROR(N21/M21),"-",(N21/M21))</f>
        <v>1.3979999999999999</v>
      </c>
    </row>
    <row r="22" spans="2:17" ht="15" customHeight="1">
      <c r="B22" s="200"/>
      <c r="C22" s="22"/>
      <c r="D22" s="22"/>
      <c r="E22" s="42"/>
      <c r="F22" s="22"/>
      <c r="G22" s="22"/>
      <c r="H22" s="22"/>
      <c r="I22" s="22"/>
      <c r="J22" s="22"/>
      <c r="K22" s="22"/>
      <c r="L22" s="42"/>
      <c r="M22" s="22"/>
      <c r="N22" s="22"/>
      <c r="O22" s="22"/>
      <c r="P22" s="460"/>
    </row>
    <row r="23" spans="2:17" ht="15" customHeight="1">
      <c r="B23" s="929" t="s">
        <v>80</v>
      </c>
      <c r="C23" s="930"/>
      <c r="D23" s="96"/>
      <c r="E23" s="77"/>
      <c r="F23" s="907" t="s">
        <v>77</v>
      </c>
      <c r="G23" s="909"/>
      <c r="H23" s="907" t="s">
        <v>75</v>
      </c>
      <c r="I23" s="909"/>
      <c r="J23" s="907" t="s">
        <v>78</v>
      </c>
      <c r="K23" s="909"/>
      <c r="L23" s="77"/>
      <c r="M23" s="907" t="str">
        <f>B8&amp;" - "&amp;B18</f>
        <v>2008 - 2010</v>
      </c>
      <c r="N23" s="908"/>
      <c r="O23" s="909"/>
      <c r="P23" s="461"/>
    </row>
    <row r="24" spans="2:17" ht="15" customHeight="1">
      <c r="B24" s="462" t="s">
        <v>76</v>
      </c>
      <c r="C24" s="97" t="s">
        <v>24</v>
      </c>
      <c r="D24" s="98" t="s">
        <v>25</v>
      </c>
      <c r="E24" s="97"/>
      <c r="F24" s="447" t="s">
        <v>223</v>
      </c>
      <c r="G24" s="448" t="s">
        <v>221</v>
      </c>
      <c r="H24" s="447" t="s">
        <v>223</v>
      </c>
      <c r="I24" s="448" t="s">
        <v>221</v>
      </c>
      <c r="J24" s="447" t="s">
        <v>223</v>
      </c>
      <c r="K24" s="448" t="s">
        <v>221</v>
      </c>
      <c r="L24" s="77"/>
      <c r="M24" s="920" t="s">
        <v>96</v>
      </c>
      <c r="N24" s="921"/>
      <c r="O24" s="922"/>
      <c r="P24" s="463" t="s">
        <v>25</v>
      </c>
    </row>
    <row r="25" spans="2:17" ht="15" customHeight="1">
      <c r="B25" s="464" t="s">
        <v>12</v>
      </c>
      <c r="C25" s="160" t="s">
        <v>79</v>
      </c>
      <c r="D25" s="161" t="s">
        <v>12</v>
      </c>
      <c r="E25" s="97"/>
      <c r="F25" s="100" t="str">
        <f>$F$10</f>
        <v>kW*Yrs</v>
      </c>
      <c r="G25" s="99" t="str">
        <f>$G$10</f>
        <v>kWh</v>
      </c>
      <c r="H25" s="100" t="str">
        <f>$H$10</f>
        <v>kW*Yrs</v>
      </c>
      <c r="I25" s="99" t="str">
        <f>$I$10</f>
        <v>kWh</v>
      </c>
      <c r="J25" s="101" t="str">
        <f>$J$10</f>
        <v>kW*Yrs</v>
      </c>
      <c r="K25" s="102" t="str">
        <f>$K$10</f>
        <v>kWh</v>
      </c>
      <c r="L25" s="103"/>
      <c r="M25" s="162" t="s">
        <v>53</v>
      </c>
      <c r="N25" s="163" t="s">
        <v>24</v>
      </c>
      <c r="O25" s="163" t="s">
        <v>83</v>
      </c>
      <c r="P25" s="465" t="s">
        <v>29</v>
      </c>
    </row>
    <row r="26" spans="2:17" ht="15" customHeight="1">
      <c r="B26" s="466">
        <f ca="1">IF(ISERROR(AVERAGE(B11,B16,B21)),"-",AVERAGE(B11,B16,B21))</f>
        <v>468106.66666666669</v>
      </c>
      <c r="C26" s="164">
        <f ca="1">IF(ISERROR(AVERAGE(C11,C16,C21)),"-",AVERAGE(C11,C16,C21))</f>
        <v>423247.13999999996</v>
      </c>
      <c r="D26" s="165">
        <f ca="1">IF(ISERROR(C26/B26),"-",(C26/B26))</f>
        <v>0.90416815255782146</v>
      </c>
      <c r="E26" s="166"/>
      <c r="F26" s="167">
        <f ca="1">IF(ISERROR(AVERAGE(F11,F16,F21)),"-",AVERAGE(F11,F16,F21))</f>
        <v>292.73333333333335</v>
      </c>
      <c r="G26" s="168">
        <f ca="1">IF(ISERROR(AVERAGE(G11,G16,G21)),"-",AVERAGE(G11,G16,G21))</f>
        <v>9058636.7666666675</v>
      </c>
      <c r="H26" s="167">
        <f ca="1">IF(ISERROR(AVERAGE(H11,H16,H21)),"-",AVERAGE(H11,H16,H21))</f>
        <v>296.637</v>
      </c>
      <c r="I26" s="168">
        <f ca="1">IF(ISERROR(AVERAGE(I11,I16,I21)),"-",AVERAGE(I11,I16,I21))</f>
        <v>9751766</v>
      </c>
      <c r="J26" s="169">
        <f ca="1">IF(ISERROR(H26/F26),"-",(H26/F26))</f>
        <v>1.0133352311546344</v>
      </c>
      <c r="K26" s="170">
        <f ca="1">IF(ISERROR(I26/G26),"-",(I26/G26))</f>
        <v>1.0765158435189566</v>
      </c>
      <c r="L26" s="171"/>
      <c r="M26" s="172">
        <f ca="1">IF(ISERROR(AVERAGE(M11,M16,M21)),"-",AVERAGE(M11,M16,M21))</f>
        <v>196</v>
      </c>
      <c r="N26" s="172">
        <f ca="1">IF(ISERROR(AVERAGE(N11,N16,N21)),"-",AVERAGE(N11,N16,N21))</f>
        <v>260</v>
      </c>
      <c r="O26" s="172">
        <f ca="1">IF(ISERROR(AVERAGE(O11,O16,O21)),"-",AVERAGE(O11,O16,O21))</f>
        <v>0</v>
      </c>
      <c r="P26" s="467">
        <f ca="1">IF(ISERROR(N26/M26),"-",(N26/M26))</f>
        <v>1.3265306122448979</v>
      </c>
    </row>
    <row r="27" spans="2:17" ht="15" customHeight="1">
      <c r="B27" s="200"/>
      <c r="C27" s="22"/>
      <c r="D27" s="22"/>
      <c r="E27" s="42"/>
      <c r="F27" s="22"/>
      <c r="G27" s="22"/>
      <c r="H27" s="22"/>
      <c r="I27" s="22"/>
      <c r="J27" s="22"/>
      <c r="K27" s="22"/>
      <c r="L27" s="42"/>
      <c r="M27" s="22"/>
      <c r="N27" s="22"/>
      <c r="O27" s="22"/>
      <c r="P27" s="460"/>
    </row>
    <row r="28" spans="2:17" ht="15" customHeight="1" thickBot="1">
      <c r="B28" s="545" t="s">
        <v>232</v>
      </c>
      <c r="C28" s="209"/>
      <c r="D28" s="209"/>
      <c r="E28" s="470"/>
      <c r="F28" s="209"/>
      <c r="G28" s="209"/>
      <c r="H28" s="209"/>
      <c r="I28" s="209"/>
      <c r="J28" s="209"/>
      <c r="K28" s="209"/>
      <c r="L28" s="470"/>
      <c r="M28" s="209"/>
      <c r="N28" s="209"/>
      <c r="O28" s="209"/>
      <c r="P28" s="471"/>
    </row>
    <row r="29" spans="2:17" ht="15" customHeight="1">
      <c r="B29" s="9"/>
      <c r="C29" s="9"/>
      <c r="D29" s="9"/>
      <c r="E29" s="92"/>
      <c r="F29" s="9"/>
      <c r="G29" s="9"/>
      <c r="H29" s="9"/>
      <c r="I29" s="9"/>
      <c r="J29" s="9"/>
      <c r="K29" s="9"/>
      <c r="L29" s="92"/>
      <c r="M29" s="9"/>
      <c r="N29" s="9"/>
      <c r="O29" s="9"/>
      <c r="P29" s="93"/>
    </row>
    <row r="30" spans="2:17" ht="15" customHeight="1" thickBot="1">
      <c r="B30" s="9"/>
      <c r="C30" s="9"/>
      <c r="D30" s="9"/>
      <c r="E30" s="92"/>
      <c r="F30" s="9"/>
      <c r="G30" s="9"/>
      <c r="H30" s="9"/>
      <c r="I30" s="9"/>
      <c r="J30" s="9"/>
      <c r="K30" s="9"/>
      <c r="L30" s="92"/>
      <c r="M30" s="9"/>
      <c r="N30" s="9"/>
      <c r="O30" s="9"/>
      <c r="P30" s="93"/>
    </row>
    <row r="31" spans="2:17" ht="15" customHeight="1">
      <c r="B31" s="917" t="str">
        <f ca="1">'A2'!A10</f>
        <v>Living Wise</v>
      </c>
      <c r="C31" s="918"/>
      <c r="D31" s="918"/>
      <c r="E31" s="918"/>
      <c r="F31" s="918"/>
      <c r="G31" s="918"/>
      <c r="H31" s="918"/>
      <c r="I31" s="918"/>
      <c r="J31" s="918"/>
      <c r="K31" s="918"/>
      <c r="L31" s="918"/>
      <c r="M31" s="918"/>
      <c r="N31" s="918"/>
      <c r="O31" s="918"/>
      <c r="P31" s="919"/>
      <c r="Q31" s="76">
        <v>2</v>
      </c>
    </row>
    <row r="32" spans="2:17" ht="15" customHeight="1">
      <c r="B32" s="183"/>
      <c r="C32" s="94"/>
      <c r="D32" s="94"/>
      <c r="E32" s="95"/>
      <c r="F32" s="94"/>
      <c r="G32" s="94"/>
      <c r="H32" s="94"/>
      <c r="I32" s="94"/>
      <c r="J32" s="94"/>
      <c r="K32" s="94"/>
      <c r="L32" s="95"/>
      <c r="M32" s="94"/>
      <c r="N32" s="23"/>
      <c r="O32" s="23"/>
      <c r="P32" s="184"/>
    </row>
    <row r="33" spans="2:16" ht="15" customHeight="1">
      <c r="B33" s="913">
        <f>$B$8</f>
        <v>2008</v>
      </c>
      <c r="C33" s="914"/>
      <c r="D33" s="96"/>
      <c r="E33" s="77"/>
      <c r="F33" s="907" t="s">
        <v>77</v>
      </c>
      <c r="G33" s="909"/>
      <c r="H33" s="907" t="s">
        <v>75</v>
      </c>
      <c r="I33" s="909"/>
      <c r="J33" s="907" t="s">
        <v>78</v>
      </c>
      <c r="K33" s="909"/>
      <c r="L33" s="77"/>
      <c r="M33" s="907">
        <f>B33</f>
        <v>2008</v>
      </c>
      <c r="N33" s="908"/>
      <c r="O33" s="909"/>
      <c r="P33" s="185"/>
    </row>
    <row r="34" spans="2:16" ht="15" customHeight="1">
      <c r="B34" s="186" t="s">
        <v>76</v>
      </c>
      <c r="C34" s="97" t="s">
        <v>24</v>
      </c>
      <c r="D34" s="98" t="s">
        <v>25</v>
      </c>
      <c r="E34" s="97"/>
      <c r="F34" s="447" t="s">
        <v>223</v>
      </c>
      <c r="G34" s="448" t="s">
        <v>221</v>
      </c>
      <c r="H34" s="447" t="s">
        <v>223</v>
      </c>
      <c r="I34" s="448" t="s">
        <v>221</v>
      </c>
      <c r="J34" s="447" t="s">
        <v>223</v>
      </c>
      <c r="K34" s="448" t="s">
        <v>221</v>
      </c>
      <c r="L34" s="77"/>
      <c r="M34" s="920" t="s">
        <v>96</v>
      </c>
      <c r="N34" s="921"/>
      <c r="O34" s="922"/>
      <c r="P34" s="187" t="s">
        <v>25</v>
      </c>
    </row>
    <row r="35" spans="2:16" ht="15" customHeight="1">
      <c r="B35" s="188" t="s">
        <v>12</v>
      </c>
      <c r="C35" s="160" t="s">
        <v>79</v>
      </c>
      <c r="D35" s="161" t="s">
        <v>12</v>
      </c>
      <c r="E35" s="97"/>
      <c r="F35" s="100" t="str">
        <f>$F$10</f>
        <v>kW*Yrs</v>
      </c>
      <c r="G35" s="99" t="str">
        <f>$G$10</f>
        <v>kWh</v>
      </c>
      <c r="H35" s="100" t="str">
        <f>$H$10</f>
        <v>kW*Yrs</v>
      </c>
      <c r="I35" s="99" t="str">
        <f>$I$10</f>
        <v>kWh</v>
      </c>
      <c r="J35" s="101" t="str">
        <f>$J$10</f>
        <v>kW*Yrs</v>
      </c>
      <c r="K35" s="102" t="str">
        <f>$K$10</f>
        <v>kWh</v>
      </c>
      <c r="L35" s="103"/>
      <c r="M35" s="162" t="s">
        <v>53</v>
      </c>
      <c r="N35" s="163" t="s">
        <v>24</v>
      </c>
      <c r="O35" s="163" t="s">
        <v>83</v>
      </c>
      <c r="P35" s="189" t="s">
        <v>29</v>
      </c>
    </row>
    <row r="36" spans="2:16" ht="15" customHeight="1">
      <c r="B36" s="190">
        <f ca="1">INDIRECT("A2!"&amp;"D"&amp;VLOOKUP("Budget",'A2'!$M$3:$N$6,2,FALSE)+Q31)</f>
        <v>37213</v>
      </c>
      <c r="C36" s="164">
        <f ca="1">INDIRECT("A2!"&amp;"E"&amp;VLOOKUP("Budget",'A2'!$M$3:$N$6,2,FALSE)+Q31)</f>
        <v>45939</v>
      </c>
      <c r="D36" s="165">
        <f ca="1">IF(ISERROR(C36/B36),"-",(C36/B36))</f>
        <v>1.2344879477601913</v>
      </c>
      <c r="E36" s="166"/>
      <c r="F36" s="167">
        <f ca="1">INDIRECT("A2!"&amp;"D"&amp;VLOOKUP("Demand",'A2'!$M$3:$N$6,2,FALSE)+Q31)</f>
        <v>13.69</v>
      </c>
      <c r="G36" s="168">
        <f ca="1">INDIRECT("A2!"&amp;"D"&amp;VLOOKUP("Energy",'A2'!$M$3:$N$6,2,FALSE)+Q31)</f>
        <v>1213710</v>
      </c>
      <c r="H36" s="167">
        <f ca="1">INDIRECT("A2!"&amp;"E"&amp;VLOOKUP("Demand",'A2'!$M$3:$N$6,2,FALSE)+Q31)</f>
        <v>36.6</v>
      </c>
      <c r="I36" s="168">
        <f ca="1">INDIRECT("A2!"&amp;"E"&amp;VLOOKUP("Energy",'A2'!$M$3:$N$6,2,FALSE)+Q31)</f>
        <v>3330600</v>
      </c>
      <c r="J36" s="169">
        <f ca="1">IF(ISERROR(H36/F36),"-",(H36/F36))</f>
        <v>2.6734842951059168</v>
      </c>
      <c r="K36" s="170">
        <f ca="1">IF(ISERROR(I36/G36),"-",(I36/G36))</f>
        <v>2.7441481078676127</v>
      </c>
      <c r="L36" s="171"/>
      <c r="M36" s="172">
        <f ca="1">INDIRECT("A2!"&amp;"C"&amp;VLOOKUP("Participant",'A2'!$M$3:$N$6,2,FALSE)+Q31)</f>
        <v>250</v>
      </c>
      <c r="N36" s="172">
        <f ca="1">INDIRECT("A2!"&amp;"D"&amp;VLOOKUP("Participant",'A2'!$M$3:$N$6,2,FALSE)+Q31)</f>
        <v>732</v>
      </c>
      <c r="O36" s="172">
        <f ca="1">INDIRECT("A2!"&amp;"E"&amp;VLOOKUP("Participant",'A2'!$M$3:$N$6,2,FALSE)+Q31)</f>
        <v>0</v>
      </c>
      <c r="P36" s="191">
        <f ca="1">IF(ISERROR(N36/M36),"-",(N36/M36))</f>
        <v>2.9279999999999999</v>
      </c>
    </row>
    <row r="37" spans="2:16" ht="15" customHeight="1">
      <c r="B37" s="183"/>
      <c r="C37" s="94"/>
      <c r="D37" s="94"/>
      <c r="E37" s="37"/>
      <c r="F37" s="94"/>
      <c r="G37" s="94"/>
      <c r="H37" s="94"/>
      <c r="I37" s="94"/>
      <c r="J37" s="94"/>
      <c r="K37" s="94"/>
      <c r="L37" s="37"/>
      <c r="M37" s="94"/>
      <c r="N37" s="23"/>
      <c r="O37" s="23"/>
      <c r="P37" s="184"/>
    </row>
    <row r="38" spans="2:16" ht="15" customHeight="1">
      <c r="B38" s="913">
        <f>$B$13</f>
        <v>2009</v>
      </c>
      <c r="C38" s="914"/>
      <c r="D38" s="96"/>
      <c r="E38" s="77"/>
      <c r="F38" s="907" t="s">
        <v>77</v>
      </c>
      <c r="G38" s="909"/>
      <c r="H38" s="907" t="s">
        <v>75</v>
      </c>
      <c r="I38" s="909"/>
      <c r="J38" s="907" t="s">
        <v>78</v>
      </c>
      <c r="K38" s="909"/>
      <c r="L38" s="77"/>
      <c r="M38" s="907">
        <f>B38</f>
        <v>2009</v>
      </c>
      <c r="N38" s="908"/>
      <c r="O38" s="909"/>
      <c r="P38" s="185"/>
    </row>
    <row r="39" spans="2:16" ht="15" customHeight="1">
      <c r="B39" s="186" t="s">
        <v>76</v>
      </c>
      <c r="C39" s="97" t="s">
        <v>24</v>
      </c>
      <c r="D39" s="98" t="s">
        <v>25</v>
      </c>
      <c r="E39" s="97"/>
      <c r="F39" s="447" t="s">
        <v>223</v>
      </c>
      <c r="G39" s="448" t="s">
        <v>221</v>
      </c>
      <c r="H39" s="447" t="s">
        <v>223</v>
      </c>
      <c r="I39" s="448" t="s">
        <v>221</v>
      </c>
      <c r="J39" s="447" t="s">
        <v>223</v>
      </c>
      <c r="K39" s="448" t="s">
        <v>221</v>
      </c>
      <c r="L39" s="77"/>
      <c r="M39" s="920" t="s">
        <v>96</v>
      </c>
      <c r="N39" s="921"/>
      <c r="O39" s="922"/>
      <c r="P39" s="187" t="s">
        <v>25</v>
      </c>
    </row>
    <row r="40" spans="2:16" ht="15" customHeight="1">
      <c r="B40" s="188" t="s">
        <v>12</v>
      </c>
      <c r="C40" s="160" t="s">
        <v>79</v>
      </c>
      <c r="D40" s="161" t="s">
        <v>12</v>
      </c>
      <c r="E40" s="97"/>
      <c r="F40" s="100" t="str">
        <f>$F$10</f>
        <v>kW*Yrs</v>
      </c>
      <c r="G40" s="99" t="str">
        <f>$G$10</f>
        <v>kWh</v>
      </c>
      <c r="H40" s="100" t="str">
        <f>$H$10</f>
        <v>kW*Yrs</v>
      </c>
      <c r="I40" s="99" t="str">
        <f>$I$10</f>
        <v>kWh</v>
      </c>
      <c r="J40" s="101" t="str">
        <f>$J$10</f>
        <v>kW*Yrs</v>
      </c>
      <c r="K40" s="102" t="str">
        <f>$K$10</f>
        <v>kWh</v>
      </c>
      <c r="L40" s="103"/>
      <c r="M40" s="162" t="s">
        <v>53</v>
      </c>
      <c r="N40" s="163" t="s">
        <v>24</v>
      </c>
      <c r="O40" s="163" t="s">
        <v>83</v>
      </c>
      <c r="P40" s="189" t="s">
        <v>29</v>
      </c>
    </row>
    <row r="41" spans="2:16" ht="15" customHeight="1">
      <c r="B41" s="190">
        <f ca="1">INDIRECT("A2!"&amp;"F"&amp;VLOOKUP("Budget",'A2'!$M$3:$N$6,2,FALSE)+Q31)</f>
        <v>37213</v>
      </c>
      <c r="C41" s="164">
        <f ca="1">INDIRECT("A2!"&amp;"G"&amp;VLOOKUP("Budget",'A2'!$M$3:$N$6,2,FALSE)+Q31)</f>
        <v>34135</v>
      </c>
      <c r="D41" s="165">
        <f ca="1">IF(ISERROR(C41/B41),"-",(C41/B41))</f>
        <v>0.91728696960739531</v>
      </c>
      <c r="E41" s="166"/>
      <c r="F41" s="167">
        <f ca="1">INDIRECT("A2!"&amp;"F"&amp;VLOOKUP("Demand",'A2'!$M$3:$N$6,2,FALSE)+Q31)</f>
        <v>27.39</v>
      </c>
      <c r="G41" s="168">
        <f ca="1">INDIRECT("A2!"&amp;"F"&amp;VLOOKUP("Energy",'A2'!$M$3:$N$6,2,FALSE)+Q31)</f>
        <v>2427430</v>
      </c>
      <c r="H41" s="167">
        <f ca="1">INDIRECT("A2!"&amp;"G"&amp;VLOOKUP("Demand",'A2'!$M$3:$N$6,2,FALSE)+Q31)</f>
        <v>53.25</v>
      </c>
      <c r="I41" s="168">
        <f ca="1">INDIRECT("A2!"&amp;"G"&amp;VLOOKUP("Energy",'A2'!$M$3:$N$6,2,FALSE)+Q31)</f>
        <v>4845750</v>
      </c>
      <c r="J41" s="169">
        <f ca="1">IF(ISERROR(H41/F41),"-",(H41/F41))</f>
        <v>1.9441401971522454</v>
      </c>
      <c r="K41" s="170">
        <f ca="1">IF(ISERROR(I41/G41),"-",(I41/G41))</f>
        <v>1.996247059647446</v>
      </c>
      <c r="L41" s="171"/>
      <c r="M41" s="172">
        <f ca="1">INDIRECT("A2!"&amp;"F"&amp;VLOOKUP("Participant",'A2'!$M$3:$N$6,2,FALSE)+Q31)</f>
        <v>125</v>
      </c>
      <c r="N41" s="172">
        <f ca="1">INDIRECT("A2!"&amp;"G"&amp;VLOOKUP("Participant",'A2'!$M$3:$N$6,2,FALSE)+Q31)</f>
        <v>1065</v>
      </c>
      <c r="O41" s="172">
        <f ca="1">INDIRECT("A2!"&amp;"H"&amp;VLOOKUP("Participant",'A2'!$M$3:$N$6,2,FALSE)+Q31)</f>
        <v>0</v>
      </c>
      <c r="P41" s="191">
        <f ca="1">IF(ISERROR(N41/M41),"-",(N41/M41))</f>
        <v>8.52</v>
      </c>
    </row>
    <row r="42" spans="2:16" ht="15" customHeight="1">
      <c r="B42" s="192"/>
      <c r="C42" s="37"/>
      <c r="D42" s="37"/>
      <c r="E42" s="37"/>
      <c r="F42" s="37"/>
      <c r="G42" s="37"/>
      <c r="H42" s="37"/>
      <c r="I42" s="37"/>
      <c r="J42" s="37"/>
      <c r="K42" s="37"/>
      <c r="L42" s="37"/>
      <c r="M42" s="37"/>
      <c r="N42" s="77"/>
      <c r="O42" s="77"/>
      <c r="P42" s="193"/>
    </row>
    <row r="43" spans="2:16" ht="15" customHeight="1">
      <c r="B43" s="913">
        <f>$B$18</f>
        <v>2010</v>
      </c>
      <c r="C43" s="914"/>
      <c r="D43" s="96"/>
      <c r="E43" s="77"/>
      <c r="F43" s="907" t="s">
        <v>77</v>
      </c>
      <c r="G43" s="909"/>
      <c r="H43" s="907" t="s">
        <v>75</v>
      </c>
      <c r="I43" s="909"/>
      <c r="J43" s="907" t="s">
        <v>78</v>
      </c>
      <c r="K43" s="909"/>
      <c r="L43" s="77"/>
      <c r="M43" s="907">
        <f>B43</f>
        <v>2010</v>
      </c>
      <c r="N43" s="908"/>
      <c r="O43" s="909"/>
      <c r="P43" s="185"/>
    </row>
    <row r="44" spans="2:16" ht="15" customHeight="1">
      <c r="B44" s="186" t="s">
        <v>76</v>
      </c>
      <c r="C44" s="97" t="s">
        <v>24</v>
      </c>
      <c r="D44" s="98" t="s">
        <v>25</v>
      </c>
      <c r="E44" s="97"/>
      <c r="F44" s="447" t="s">
        <v>223</v>
      </c>
      <c r="G44" s="448" t="s">
        <v>221</v>
      </c>
      <c r="H44" s="447" t="s">
        <v>223</v>
      </c>
      <c r="I44" s="448" t="s">
        <v>221</v>
      </c>
      <c r="J44" s="447" t="s">
        <v>223</v>
      </c>
      <c r="K44" s="448" t="s">
        <v>221</v>
      </c>
      <c r="L44" s="77"/>
      <c r="M44" s="920" t="s">
        <v>96</v>
      </c>
      <c r="N44" s="921"/>
      <c r="O44" s="922"/>
      <c r="P44" s="187" t="s">
        <v>25</v>
      </c>
    </row>
    <row r="45" spans="2:16" ht="15" customHeight="1">
      <c r="B45" s="188" t="s">
        <v>12</v>
      </c>
      <c r="C45" s="160" t="s">
        <v>79</v>
      </c>
      <c r="D45" s="161" t="s">
        <v>12</v>
      </c>
      <c r="E45" s="97"/>
      <c r="F45" s="100" t="str">
        <f>$F$10</f>
        <v>kW*Yrs</v>
      </c>
      <c r="G45" s="99" t="str">
        <f>$G$10</f>
        <v>kWh</v>
      </c>
      <c r="H45" s="100" t="str">
        <f>$H$10</f>
        <v>kW*Yrs</v>
      </c>
      <c r="I45" s="99" t="str">
        <f>$I$10</f>
        <v>kWh</v>
      </c>
      <c r="J45" s="101" t="str">
        <f>$J$10</f>
        <v>kW*Yrs</v>
      </c>
      <c r="K45" s="102" t="str">
        <f>$K$10</f>
        <v>kWh</v>
      </c>
      <c r="L45" s="103"/>
      <c r="M45" s="162" t="s">
        <v>53</v>
      </c>
      <c r="N45" s="163" t="s">
        <v>24</v>
      </c>
      <c r="O45" s="163" t="s">
        <v>83</v>
      </c>
      <c r="P45" s="189" t="s">
        <v>29</v>
      </c>
    </row>
    <row r="46" spans="2:16" ht="15" customHeight="1">
      <c r="B46" s="190">
        <f ca="1">INDIRECT("A2!"&amp;"H"&amp;VLOOKUP("Budget",'A2'!$M$3:$N$6,2,FALSE)+Q31)</f>
        <v>61000</v>
      </c>
      <c r="C46" s="164">
        <f ca="1">INDIRECT("A2!"&amp;"I"&amp;VLOOKUP("Budget",'A2'!$M$3:$N$6,2,FALSE)+Q31)</f>
        <v>49404.77</v>
      </c>
      <c r="D46" s="165">
        <f ca="1">IF(ISERROR(C46/B46),"-",(C46/B46))</f>
        <v>0.8099142622950819</v>
      </c>
      <c r="E46" s="166"/>
      <c r="F46" s="167">
        <f ca="1">INDIRECT("A2!"&amp;"H"&amp;VLOOKUP("Demand",'A2'!$M$3:$N$6,2,FALSE)+Q31)</f>
        <v>11</v>
      </c>
      <c r="G46" s="168">
        <f ca="1">INDIRECT("A2!"&amp;"H"&amp;VLOOKUP("Energy",'A2'!$M$3:$N$6,2,FALSE)+Q31)</f>
        <v>1156820.1749999998</v>
      </c>
      <c r="H46" s="167">
        <f ca="1">INDIRECT("A2!"&amp;"I"&amp;VLOOKUP("Demand",'A2'!$M$3:$N$6,2,FALSE)+Q31)</f>
        <v>11.101021077465752</v>
      </c>
      <c r="I46" s="168">
        <f ca="1">INDIRECT("A2!"&amp;"I"&amp;VLOOKUP("Energy",'A2'!$M$3:$N$6,2,FALSE)+Q31)</f>
        <v>213681.92098496083</v>
      </c>
      <c r="J46" s="169">
        <f ca="1">IF(ISERROR(H46/F46),"-",(H46/F46))</f>
        <v>1.0091837343150685</v>
      </c>
      <c r="K46" s="170">
        <f ca="1">IF(ISERROR(I46/G46),"-",(I46/G46))</f>
        <v>0.18471489830730248</v>
      </c>
      <c r="L46" s="171"/>
      <c r="M46" s="172">
        <f ca="1">INDIRECT("A2!"&amp;"I"&amp;VLOOKUP("Participant",'A2'!$M$3:$N$6,2,FALSE)+Q31)</f>
        <v>1200</v>
      </c>
      <c r="N46" s="172">
        <f ca="1">INDIRECT("A2!"&amp;"J"&amp;VLOOKUP("Participant",'A2'!$M$3:$N$6,2,FALSE)+Q31)</f>
        <v>1199</v>
      </c>
      <c r="O46" s="172">
        <f ca="1">INDIRECT("A2!"&amp;"K"&amp;VLOOKUP("Participant",'A2'!$M$3:$N$6,2,FALSE)+Q31)</f>
        <v>0</v>
      </c>
      <c r="P46" s="191">
        <f ca="1">IF(ISERROR(N46/M46),"-",(N46/M46))</f>
        <v>0.99916666666666665</v>
      </c>
    </row>
    <row r="47" spans="2:16" ht="15" customHeight="1">
      <c r="B47" s="194"/>
      <c r="C47" s="22"/>
      <c r="D47" s="22"/>
      <c r="E47" s="42"/>
      <c r="F47" s="22"/>
      <c r="G47" s="22"/>
      <c r="H47" s="22"/>
      <c r="I47" s="22"/>
      <c r="J47" s="22"/>
      <c r="K47" s="22"/>
      <c r="L47" s="42"/>
      <c r="M47" s="22"/>
      <c r="N47" s="22"/>
      <c r="O47" s="22"/>
      <c r="P47" s="184"/>
    </row>
    <row r="48" spans="2:16" ht="15" customHeight="1">
      <c r="B48" s="915" t="s">
        <v>80</v>
      </c>
      <c r="C48" s="916"/>
      <c r="D48" s="96"/>
      <c r="E48" s="77"/>
      <c r="F48" s="907" t="s">
        <v>77</v>
      </c>
      <c r="G48" s="909"/>
      <c r="H48" s="907" t="s">
        <v>75</v>
      </c>
      <c r="I48" s="909"/>
      <c r="J48" s="907" t="s">
        <v>78</v>
      </c>
      <c r="K48" s="909"/>
      <c r="L48" s="77"/>
      <c r="M48" s="907" t="str">
        <f>B33&amp;" - "&amp;B43</f>
        <v>2008 - 2010</v>
      </c>
      <c r="N48" s="908"/>
      <c r="O48" s="909"/>
      <c r="P48" s="185"/>
    </row>
    <row r="49" spans="2:17" ht="15" customHeight="1">
      <c r="B49" s="186" t="s">
        <v>76</v>
      </c>
      <c r="C49" s="97" t="s">
        <v>24</v>
      </c>
      <c r="D49" s="98" t="s">
        <v>25</v>
      </c>
      <c r="E49" s="97"/>
      <c r="F49" s="447" t="s">
        <v>223</v>
      </c>
      <c r="G49" s="448" t="s">
        <v>221</v>
      </c>
      <c r="H49" s="447" t="s">
        <v>223</v>
      </c>
      <c r="I49" s="448" t="s">
        <v>221</v>
      </c>
      <c r="J49" s="447" t="s">
        <v>223</v>
      </c>
      <c r="K49" s="448" t="s">
        <v>221</v>
      </c>
      <c r="L49" s="77"/>
      <c r="M49" s="920" t="s">
        <v>96</v>
      </c>
      <c r="N49" s="921"/>
      <c r="O49" s="922"/>
      <c r="P49" s="187" t="s">
        <v>25</v>
      </c>
    </row>
    <row r="50" spans="2:17" ht="15" customHeight="1">
      <c r="B50" s="188" t="s">
        <v>12</v>
      </c>
      <c r="C50" s="160" t="s">
        <v>79</v>
      </c>
      <c r="D50" s="161" t="s">
        <v>12</v>
      </c>
      <c r="E50" s="97"/>
      <c r="F50" s="100" t="str">
        <f>$F$10</f>
        <v>kW*Yrs</v>
      </c>
      <c r="G50" s="99" t="str">
        <f>$G$10</f>
        <v>kWh</v>
      </c>
      <c r="H50" s="100" t="str">
        <f>$H$10</f>
        <v>kW*Yrs</v>
      </c>
      <c r="I50" s="99" t="str">
        <f>$I$10</f>
        <v>kWh</v>
      </c>
      <c r="J50" s="101" t="str">
        <f>$J$10</f>
        <v>kW*Yrs</v>
      </c>
      <c r="K50" s="102" t="str">
        <f>$K$10</f>
        <v>kWh</v>
      </c>
      <c r="L50" s="103"/>
      <c r="M50" s="162" t="s">
        <v>53</v>
      </c>
      <c r="N50" s="163" t="s">
        <v>24</v>
      </c>
      <c r="O50" s="163" t="s">
        <v>83</v>
      </c>
      <c r="P50" s="189" t="s">
        <v>29</v>
      </c>
    </row>
    <row r="51" spans="2:17" ht="15" customHeight="1">
      <c r="B51" s="466">
        <f ca="1">IF(ISERROR(AVERAGE(B36,B41,B46)),"-",AVERAGE(B36,B41,B46))</f>
        <v>45142</v>
      </c>
      <c r="C51" s="164">
        <f ca="1">IF(ISERROR(AVERAGE(C36,C41,C46)),"-",AVERAGE(C36,C41,C46))</f>
        <v>43159.59</v>
      </c>
      <c r="D51" s="165">
        <f ca="1">IF(ISERROR(C51/B51),"-",(C51/B51))</f>
        <v>0.9560850206016569</v>
      </c>
      <c r="E51" s="166"/>
      <c r="F51" s="167">
        <f ca="1">IF(ISERROR(AVERAGE(F36,F41,F46)),"-",AVERAGE(F36,F41,F46))</f>
        <v>17.36</v>
      </c>
      <c r="G51" s="168">
        <f ca="1">IF(ISERROR(AVERAGE(G36,G41,G46)),"-",AVERAGE(G36,G41,G46))</f>
        <v>1599320.0583333333</v>
      </c>
      <c r="H51" s="167">
        <f ca="1">IF(ISERROR(AVERAGE(H36,H41,H46)),"-",AVERAGE(H36,H41,H46))</f>
        <v>33.650340359155251</v>
      </c>
      <c r="I51" s="168">
        <f ca="1">IF(ISERROR(AVERAGE(I36,I41,I46)),"-",AVERAGE(I36,I41,I46))</f>
        <v>2796677.3069949872</v>
      </c>
      <c r="J51" s="169">
        <f ca="1">IF(ISERROR(H51/F51),"-",(H51/F51))</f>
        <v>1.9383836612416621</v>
      </c>
      <c r="K51" s="170">
        <f ca="1">IF(ISERROR(I51/G51),"-",(I51/G51))</f>
        <v>1.7486664363538535</v>
      </c>
      <c r="L51" s="171"/>
      <c r="M51" s="172">
        <f ca="1">IF(ISERROR(AVERAGE(M36,M41,M46)),"-",AVERAGE(M36,M41,M46))</f>
        <v>525</v>
      </c>
      <c r="N51" s="172">
        <f ca="1">IF(ISERROR(AVERAGE(N36,N41,N46)),"-",AVERAGE(N36,N41,N46))</f>
        <v>998.66666666666663</v>
      </c>
      <c r="O51" s="172">
        <f ca="1">IF(ISERROR(AVERAGE(O36,O41,O46)),"-",AVERAGE(O36,O41,O46))</f>
        <v>0</v>
      </c>
      <c r="P51" s="467">
        <f ca="1">IF(ISERROR(N51/M51),"-",(N51/M51))</f>
        <v>1.9022222222222223</v>
      </c>
    </row>
    <row r="52" spans="2:17" ht="15" customHeight="1">
      <c r="B52" s="200"/>
      <c r="C52" s="22"/>
      <c r="D52" s="22"/>
      <c r="E52" s="42"/>
      <c r="F52" s="22"/>
      <c r="G52" s="22"/>
      <c r="H52" s="22"/>
      <c r="I52" s="22"/>
      <c r="J52" s="22"/>
      <c r="K52" s="22"/>
      <c r="L52" s="42"/>
      <c r="M52" s="22"/>
      <c r="N52" s="22"/>
      <c r="O52" s="22"/>
      <c r="P52" s="460"/>
    </row>
    <row r="53" spans="2:17" ht="15" customHeight="1" thickBot="1">
      <c r="B53" s="545" t="str">
        <f>$B$28</f>
        <v>*Lifetime Savings</v>
      </c>
      <c r="C53" s="209"/>
      <c r="D53" s="209"/>
      <c r="E53" s="470"/>
      <c r="F53" s="209"/>
      <c r="G53" s="209"/>
      <c r="H53" s="209"/>
      <c r="I53" s="209"/>
      <c r="J53" s="209"/>
      <c r="K53" s="209"/>
      <c r="L53" s="470"/>
      <c r="M53" s="209"/>
      <c r="N53" s="209"/>
      <c r="O53" s="209"/>
      <c r="P53" s="471"/>
    </row>
    <row r="54" spans="2:17" ht="15" customHeight="1">
      <c r="B54" s="9"/>
      <c r="C54" s="9"/>
      <c r="D54" s="9"/>
      <c r="E54" s="92"/>
      <c r="F54" s="9"/>
      <c r="G54" s="9"/>
      <c r="H54" s="9"/>
      <c r="I54" s="9"/>
      <c r="J54" s="9"/>
      <c r="K54" s="9"/>
      <c r="L54" s="92"/>
      <c r="M54" s="9"/>
      <c r="N54" s="9"/>
      <c r="O54" s="9"/>
      <c r="P54" s="93"/>
    </row>
    <row r="55" spans="2:17" ht="15" customHeight="1" thickBot="1">
      <c r="B55" s="9"/>
      <c r="C55" s="9"/>
      <c r="D55" s="9"/>
      <c r="E55" s="9"/>
      <c r="F55" s="9"/>
      <c r="G55" s="9"/>
      <c r="H55" s="9"/>
      <c r="I55" s="9"/>
      <c r="J55" s="9"/>
      <c r="K55" s="9"/>
      <c r="L55" s="9"/>
      <c r="M55" s="9"/>
      <c r="N55" s="9"/>
      <c r="O55" s="9"/>
      <c r="P55" s="9"/>
    </row>
    <row r="56" spans="2:17" ht="15" customHeight="1">
      <c r="B56" s="917" t="str">
        <f ca="1">'A2'!A11</f>
        <v>CER</v>
      </c>
      <c r="C56" s="918"/>
      <c r="D56" s="918"/>
      <c r="E56" s="918"/>
      <c r="F56" s="918"/>
      <c r="G56" s="918"/>
      <c r="H56" s="918"/>
      <c r="I56" s="918"/>
      <c r="J56" s="918"/>
      <c r="K56" s="918"/>
      <c r="L56" s="918"/>
      <c r="M56" s="918"/>
      <c r="N56" s="918"/>
      <c r="O56" s="918"/>
      <c r="P56" s="919"/>
      <c r="Q56" s="76">
        <v>3</v>
      </c>
    </row>
    <row r="57" spans="2:17" ht="15" customHeight="1">
      <c r="B57" s="183"/>
      <c r="C57" s="94"/>
      <c r="D57" s="94"/>
      <c r="E57" s="95"/>
      <c r="F57" s="94"/>
      <c r="G57" s="94"/>
      <c r="H57" s="94"/>
      <c r="I57" s="94"/>
      <c r="J57" s="94"/>
      <c r="K57" s="94"/>
      <c r="L57" s="95"/>
      <c r="M57" s="94"/>
      <c r="N57" s="23"/>
      <c r="O57" s="23"/>
      <c r="P57" s="184"/>
    </row>
    <row r="58" spans="2:17" ht="15" customHeight="1">
      <c r="B58" s="913">
        <f>$B$8</f>
        <v>2008</v>
      </c>
      <c r="C58" s="914"/>
      <c r="D58" s="96"/>
      <c r="E58" s="77"/>
      <c r="F58" s="907" t="s">
        <v>77</v>
      </c>
      <c r="G58" s="909"/>
      <c r="H58" s="907" t="s">
        <v>75</v>
      </c>
      <c r="I58" s="909"/>
      <c r="J58" s="907" t="s">
        <v>78</v>
      </c>
      <c r="K58" s="909"/>
      <c r="L58" s="77"/>
      <c r="M58" s="907">
        <f>B58</f>
        <v>2008</v>
      </c>
      <c r="N58" s="908"/>
      <c r="O58" s="909"/>
      <c r="P58" s="185"/>
    </row>
    <row r="59" spans="2:17" ht="15" customHeight="1">
      <c r="B59" s="186" t="s">
        <v>76</v>
      </c>
      <c r="C59" s="97" t="s">
        <v>24</v>
      </c>
      <c r="D59" s="98" t="s">
        <v>25</v>
      </c>
      <c r="E59" s="97"/>
      <c r="F59" s="447" t="s">
        <v>223</v>
      </c>
      <c r="G59" s="448" t="s">
        <v>221</v>
      </c>
      <c r="H59" s="447" t="s">
        <v>223</v>
      </c>
      <c r="I59" s="448" t="s">
        <v>221</v>
      </c>
      <c r="J59" s="447" t="s">
        <v>223</v>
      </c>
      <c r="K59" s="448" t="s">
        <v>221</v>
      </c>
      <c r="L59" s="77"/>
      <c r="M59" s="920" t="s">
        <v>96</v>
      </c>
      <c r="N59" s="921"/>
      <c r="O59" s="922"/>
      <c r="P59" s="187" t="s">
        <v>25</v>
      </c>
    </row>
    <row r="60" spans="2:17" ht="15" customHeight="1">
      <c r="B60" s="188" t="s">
        <v>12</v>
      </c>
      <c r="C60" s="160" t="s">
        <v>79</v>
      </c>
      <c r="D60" s="161" t="s">
        <v>12</v>
      </c>
      <c r="E60" s="97"/>
      <c r="F60" s="100" t="str">
        <f>$F$10</f>
        <v>kW*Yrs</v>
      </c>
      <c r="G60" s="99" t="str">
        <f>$G$10</f>
        <v>kWh</v>
      </c>
      <c r="H60" s="100" t="str">
        <f>$H$10</f>
        <v>kW*Yrs</v>
      </c>
      <c r="I60" s="99" t="str">
        <f>$I$10</f>
        <v>kWh</v>
      </c>
      <c r="J60" s="101" t="str">
        <f>$J$10</f>
        <v>kW*Yrs</v>
      </c>
      <c r="K60" s="102" t="str">
        <f>$K$10</f>
        <v>kWh</v>
      </c>
      <c r="L60" s="103"/>
      <c r="M60" s="162" t="s">
        <v>53</v>
      </c>
      <c r="N60" s="163" t="s">
        <v>24</v>
      </c>
      <c r="O60" s="163" t="s">
        <v>83</v>
      </c>
      <c r="P60" s="189" t="s">
        <v>29</v>
      </c>
    </row>
    <row r="61" spans="2:17" ht="15" customHeight="1">
      <c r="B61" s="190">
        <f ca="1">INDIRECT("A2!"&amp;"D"&amp;VLOOKUP("Budget",'A2'!$M$3:$N$6,2,FALSE)+Q56)</f>
        <v>53000</v>
      </c>
      <c r="C61" s="164">
        <f ca="1">INDIRECT("A2!"&amp;"E"&amp;VLOOKUP("Budget",'A2'!$M$3:$N$6,2,FALSE)+Q56)</f>
        <v>70346</v>
      </c>
      <c r="D61" s="165">
        <f ca="1">IF(ISERROR(C61/B61),"-",(C61/B61))</f>
        <v>1.3272830188679245</v>
      </c>
      <c r="E61" s="166"/>
      <c r="F61" s="167">
        <f ca="1">INDIRECT("A2!"&amp;"D"&amp;VLOOKUP("Demand",'A2'!$M$3:$N$6,2,FALSE)+Q56)</f>
        <v>244.65</v>
      </c>
      <c r="G61" s="168">
        <f ca="1">INDIRECT("A2!"&amp;"D"&amp;VLOOKUP("Energy",'A2'!$M$3:$N$6,2,FALSE)+Q56)</f>
        <v>6787980</v>
      </c>
      <c r="H61" s="167">
        <f ca="1">INDIRECT("A2!"&amp;"E"&amp;VLOOKUP("Demand",'A2'!$M$3:$N$6,2,FALSE)+Q56)</f>
        <v>283.56</v>
      </c>
      <c r="I61" s="168">
        <f ca="1">INDIRECT("A2!"&amp;"E"&amp;VLOOKUP("Energy",'A2'!$M$3:$N$6,2,FALSE)+Q56)</f>
        <v>7278040</v>
      </c>
      <c r="J61" s="169">
        <f ca="1">IF(ISERROR(H61/F61),"-",(H61/F61))</f>
        <v>1.1590435315757204</v>
      </c>
      <c r="K61" s="170">
        <f ca="1">IF(ISERROR(I61/G61),"-",(I61/G61))</f>
        <v>1.0721952628027778</v>
      </c>
      <c r="L61" s="171"/>
      <c r="M61" s="172">
        <f ca="1">INDIRECT("A2!"&amp;"C"&amp;VLOOKUP("Participant",'A2'!$M$3:$N$6,2,FALSE)+Q56)</f>
        <v>1033</v>
      </c>
      <c r="N61" s="172">
        <f ca="1">INDIRECT("A2!"&amp;"D"&amp;VLOOKUP("Participant",'A2'!$M$3:$N$6,2,FALSE)+Q56)</f>
        <v>2363</v>
      </c>
      <c r="O61" s="172">
        <f ca="1">INDIRECT("A2!"&amp;"E"&amp;VLOOKUP("Participant",'A2'!$M$3:$N$6,2,FALSE)+Q56)</f>
        <v>0</v>
      </c>
      <c r="P61" s="191">
        <f ca="1">IF(ISERROR(N61/M61),"-",(N61/M61))</f>
        <v>2.2875121006776378</v>
      </c>
    </row>
    <row r="62" spans="2:17" ht="15" customHeight="1">
      <c r="B62" s="183"/>
      <c r="C62" s="94"/>
      <c r="D62" s="94"/>
      <c r="E62" s="37"/>
      <c r="F62" s="94"/>
      <c r="G62" s="94"/>
      <c r="H62" s="94"/>
      <c r="I62" s="94"/>
      <c r="J62" s="94"/>
      <c r="K62" s="94"/>
      <c r="L62" s="37"/>
      <c r="M62" s="94"/>
      <c r="N62" s="23"/>
      <c r="O62" s="23"/>
      <c r="P62" s="184"/>
    </row>
    <row r="63" spans="2:17" ht="15" customHeight="1">
      <c r="B63" s="913">
        <f>$B$13</f>
        <v>2009</v>
      </c>
      <c r="C63" s="914"/>
      <c r="D63" s="96"/>
      <c r="E63" s="77"/>
      <c r="F63" s="907" t="s">
        <v>77</v>
      </c>
      <c r="G63" s="909"/>
      <c r="H63" s="907" t="s">
        <v>75</v>
      </c>
      <c r="I63" s="909"/>
      <c r="J63" s="907" t="s">
        <v>78</v>
      </c>
      <c r="K63" s="909"/>
      <c r="L63" s="77"/>
      <c r="M63" s="907">
        <f>B63</f>
        <v>2009</v>
      </c>
      <c r="N63" s="908"/>
      <c r="O63" s="909"/>
      <c r="P63" s="185"/>
    </row>
    <row r="64" spans="2:17" ht="15" customHeight="1">
      <c r="B64" s="186" t="s">
        <v>76</v>
      </c>
      <c r="C64" s="97" t="s">
        <v>24</v>
      </c>
      <c r="D64" s="98" t="s">
        <v>25</v>
      </c>
      <c r="E64" s="97"/>
      <c r="F64" s="447" t="s">
        <v>223</v>
      </c>
      <c r="G64" s="448" t="s">
        <v>221</v>
      </c>
      <c r="H64" s="447" t="s">
        <v>223</v>
      </c>
      <c r="I64" s="448" t="s">
        <v>221</v>
      </c>
      <c r="J64" s="447" t="s">
        <v>223</v>
      </c>
      <c r="K64" s="448" t="s">
        <v>221</v>
      </c>
      <c r="L64" s="77"/>
      <c r="M64" s="920" t="s">
        <v>96</v>
      </c>
      <c r="N64" s="921"/>
      <c r="O64" s="922"/>
      <c r="P64" s="187" t="s">
        <v>25</v>
      </c>
    </row>
    <row r="65" spans="2:16" ht="15" customHeight="1">
      <c r="B65" s="188" t="s">
        <v>12</v>
      </c>
      <c r="C65" s="160" t="s">
        <v>79</v>
      </c>
      <c r="D65" s="161" t="s">
        <v>12</v>
      </c>
      <c r="E65" s="97"/>
      <c r="F65" s="100" t="str">
        <f>$F$10</f>
        <v>kW*Yrs</v>
      </c>
      <c r="G65" s="99" t="str">
        <f>$G$10</f>
        <v>kWh</v>
      </c>
      <c r="H65" s="100" t="str">
        <f>$H$10</f>
        <v>kW*Yrs</v>
      </c>
      <c r="I65" s="99" t="str">
        <f>$I$10</f>
        <v>kWh</v>
      </c>
      <c r="J65" s="101" t="str">
        <f>$J$10</f>
        <v>kW*Yrs</v>
      </c>
      <c r="K65" s="102" t="str">
        <f>$K$10</f>
        <v>kWh</v>
      </c>
      <c r="L65" s="103"/>
      <c r="M65" s="162" t="s">
        <v>53</v>
      </c>
      <c r="N65" s="163" t="s">
        <v>24</v>
      </c>
      <c r="O65" s="163" t="s">
        <v>83</v>
      </c>
      <c r="P65" s="189" t="s">
        <v>29</v>
      </c>
    </row>
    <row r="66" spans="2:16" ht="15" customHeight="1">
      <c r="B66" s="190">
        <f ca="1">INDIRECT("A2!"&amp;"F"&amp;VLOOKUP("Budget",'A2'!$M$3:$N$6,2,FALSE)+Q56)</f>
        <v>53000</v>
      </c>
      <c r="C66" s="164">
        <f ca="1">INDIRECT("A2!"&amp;"G"&amp;VLOOKUP("Budget",'A2'!$M$3:$N$6,2,FALSE)+Q56)</f>
        <v>23244</v>
      </c>
      <c r="D66" s="165">
        <f ca="1">IF(ISERROR(C66/B66),"-",(C66/B66))</f>
        <v>0.43856603773584907</v>
      </c>
      <c r="E66" s="166"/>
      <c r="F66" s="167">
        <f ca="1">INDIRECT("A2!"&amp;"F"&amp;VLOOKUP("Demand",'A2'!$M$3:$N$6,2,FALSE)+Q56)</f>
        <v>489.29</v>
      </c>
      <c r="G66" s="168">
        <f ca="1">INDIRECT("A2!"&amp;"F"&amp;VLOOKUP("Energy",'A2'!$M$3:$N$6,2,FALSE)+Q56)</f>
        <v>13575950</v>
      </c>
      <c r="H66" s="167">
        <f ca="1">INDIRECT("A2!"&amp;"G"&amp;VLOOKUP("Demand",'A2'!$M$3:$N$6,2,FALSE)+Q56)</f>
        <v>106</v>
      </c>
      <c r="I66" s="168">
        <f ca="1">INDIRECT("A2!"&amp;"G"&amp;VLOOKUP("Energy",'A2'!$M$3:$N$6,2,FALSE)+Q56)</f>
        <v>3268400</v>
      </c>
      <c r="J66" s="169">
        <f ca="1">IF(ISERROR(H66/F66),"-",(H66/F66))</f>
        <v>0.21664043818594289</v>
      </c>
      <c r="K66" s="170">
        <f ca="1">IF(ISERROR(I66/G66),"-",(I66/G66))</f>
        <v>0.24074926616553538</v>
      </c>
      <c r="L66" s="171"/>
      <c r="M66" s="172">
        <f ca="1">INDIRECT("A2!"&amp;"F"&amp;VLOOKUP("Participant",'A2'!$M$3:$N$6,2,FALSE)+Q56)</f>
        <v>1033</v>
      </c>
      <c r="N66" s="172">
        <f ca="1">INDIRECT("A2!"&amp;"G"&amp;VLOOKUP("Participant",'A2'!$M$3:$N$6,2,FALSE)+Q56)</f>
        <v>1060</v>
      </c>
      <c r="O66" s="172">
        <f ca="1">INDIRECT("A2!"&amp;"H"&amp;VLOOKUP("Participant",'A2'!$M$3:$N$6,2,FALSE)+Q56)</f>
        <v>0</v>
      </c>
      <c r="P66" s="191">
        <f ca="1">IF(ISERROR(N66/M66),"-",(N66/M66))</f>
        <v>1.026137463697967</v>
      </c>
    </row>
    <row r="67" spans="2:16" ht="15" customHeight="1">
      <c r="B67" s="192"/>
      <c r="C67" s="37"/>
      <c r="D67" s="37"/>
      <c r="E67" s="37"/>
      <c r="F67" s="37"/>
      <c r="G67" s="37"/>
      <c r="H67" s="37"/>
      <c r="I67" s="37"/>
      <c r="J67" s="37"/>
      <c r="K67" s="37"/>
      <c r="L67" s="37"/>
      <c r="M67" s="37"/>
      <c r="N67" s="77"/>
      <c r="O67" s="77"/>
      <c r="P67" s="193"/>
    </row>
    <row r="68" spans="2:16" ht="15" customHeight="1">
      <c r="B68" s="913">
        <f>$B$18</f>
        <v>2010</v>
      </c>
      <c r="C68" s="914"/>
      <c r="D68" s="96"/>
      <c r="E68" s="77"/>
      <c r="F68" s="907" t="s">
        <v>77</v>
      </c>
      <c r="G68" s="909"/>
      <c r="H68" s="907" t="s">
        <v>75</v>
      </c>
      <c r="I68" s="909"/>
      <c r="J68" s="907" t="s">
        <v>78</v>
      </c>
      <c r="K68" s="909"/>
      <c r="L68" s="77"/>
      <c r="M68" s="907">
        <f>B68</f>
        <v>2010</v>
      </c>
      <c r="N68" s="908"/>
      <c r="O68" s="909"/>
      <c r="P68" s="185"/>
    </row>
    <row r="69" spans="2:16" ht="15" customHeight="1">
      <c r="B69" s="186" t="s">
        <v>76</v>
      </c>
      <c r="C69" s="97" t="s">
        <v>24</v>
      </c>
      <c r="D69" s="98" t="s">
        <v>25</v>
      </c>
      <c r="E69" s="97"/>
      <c r="F69" s="447" t="s">
        <v>223</v>
      </c>
      <c r="G69" s="448" t="s">
        <v>221</v>
      </c>
      <c r="H69" s="447" t="s">
        <v>223</v>
      </c>
      <c r="I69" s="448" t="s">
        <v>221</v>
      </c>
      <c r="J69" s="447" t="s">
        <v>223</v>
      </c>
      <c r="K69" s="448" t="s">
        <v>221</v>
      </c>
      <c r="L69" s="77"/>
      <c r="M69" s="920" t="s">
        <v>96</v>
      </c>
      <c r="N69" s="921"/>
      <c r="O69" s="922"/>
      <c r="P69" s="187" t="s">
        <v>25</v>
      </c>
    </row>
    <row r="70" spans="2:16" ht="15" customHeight="1">
      <c r="B70" s="188" t="s">
        <v>12</v>
      </c>
      <c r="C70" s="160" t="s">
        <v>79</v>
      </c>
      <c r="D70" s="161" t="s">
        <v>12</v>
      </c>
      <c r="E70" s="97"/>
      <c r="F70" s="100" t="str">
        <f>$F$10</f>
        <v>kW*Yrs</v>
      </c>
      <c r="G70" s="99" t="str">
        <f>$G$10</f>
        <v>kWh</v>
      </c>
      <c r="H70" s="100" t="str">
        <f>$H$10</f>
        <v>kW*Yrs</v>
      </c>
      <c r="I70" s="99" t="str">
        <f>$I$10</f>
        <v>kWh</v>
      </c>
      <c r="J70" s="101" t="str">
        <f>$J$10</f>
        <v>kW*Yrs</v>
      </c>
      <c r="K70" s="102" t="str">
        <f>$K$10</f>
        <v>kWh</v>
      </c>
      <c r="L70" s="103"/>
      <c r="M70" s="162" t="s">
        <v>53</v>
      </c>
      <c r="N70" s="163" t="s">
        <v>24</v>
      </c>
      <c r="O70" s="163" t="s">
        <v>83</v>
      </c>
      <c r="P70" s="189" t="s">
        <v>29</v>
      </c>
    </row>
    <row r="71" spans="2:16" ht="15" customHeight="1">
      <c r="B71" s="190">
        <f ca="1">INDIRECT("A2!"&amp;"H"&amp;VLOOKUP("Budget",'A2'!$M$3:$N$6,2,FALSE)+Q56)</f>
        <v>7000</v>
      </c>
      <c r="C71" s="164">
        <f ca="1">INDIRECT("A2!"&amp;"I"&amp;VLOOKUP("Budget",'A2'!$M$3:$N$6,2,FALSE)+Q56)</f>
        <v>60.87</v>
      </c>
      <c r="D71" s="165">
        <f ca="1">IF(ISERROR(C71/B71),"-",(C71/B71))</f>
        <v>8.6957142857142858E-3</v>
      </c>
      <c r="E71" s="166"/>
      <c r="F71" s="167">
        <f ca="1">INDIRECT("A2!"&amp;"H"&amp;VLOOKUP("Demand",'A2'!$M$3:$N$6,2,FALSE)+Q56)</f>
        <v>55</v>
      </c>
      <c r="G71" s="168">
        <f ca="1">INDIRECT("A2!"&amp;"H"&amp;VLOOKUP("Energy",'A2'!$M$3:$N$6,2,FALSE)+Q56)</f>
        <v>1680757.3670000001</v>
      </c>
      <c r="H71" s="167">
        <f ca="1">INDIRECT("A2!"&amp;"I"&amp;VLOOKUP("Demand",'A2'!$M$3:$N$6,2,FALSE)+Q56)</f>
        <v>5.8</v>
      </c>
      <c r="I71" s="168">
        <f ca="1">INDIRECT("A2!"&amp;"I"&amp;VLOOKUP("Energy",'A2'!$M$3:$N$6,2,FALSE)+Q56)</f>
        <v>178640</v>
      </c>
      <c r="J71" s="169">
        <f ca="1">IF(ISERROR(H71/F71),"-",(H71/F71))</f>
        <v>0.10545454545454545</v>
      </c>
      <c r="K71" s="170">
        <f ca="1">IF(ISERROR(I71/G71),"-",(I71/G71))</f>
        <v>0.10628541841161539</v>
      </c>
      <c r="L71" s="171"/>
      <c r="M71" s="172">
        <f ca="1">INDIRECT("A2!"&amp;"I"&amp;VLOOKUP("Participant",'A2'!$M$3:$N$6,2,FALSE)+Q56)</f>
        <v>500</v>
      </c>
      <c r="N71" s="172">
        <f ca="1">INDIRECT("A2!"&amp;"J"&amp;VLOOKUP("Participant",'A2'!$M$3:$N$6,2,FALSE)+Q56)</f>
        <v>58</v>
      </c>
      <c r="O71" s="172">
        <f ca="1">INDIRECT("A2!"&amp;"K"&amp;VLOOKUP("Participant",'A2'!$M$3:$N$6,2,FALSE)+Q56)</f>
        <v>0</v>
      </c>
      <c r="P71" s="191">
        <f ca="1">IF(ISERROR(N71/M71),"-",(N71/M71))</f>
        <v>0.11600000000000001</v>
      </c>
    </row>
    <row r="72" spans="2:16" ht="15" customHeight="1">
      <c r="B72" s="194"/>
      <c r="C72" s="22"/>
      <c r="D72" s="22"/>
      <c r="E72" s="42"/>
      <c r="F72" s="22"/>
      <c r="G72" s="22"/>
      <c r="H72" s="22"/>
      <c r="I72" s="22"/>
      <c r="J72" s="22"/>
      <c r="K72" s="22"/>
      <c r="L72" s="42"/>
      <c r="M72" s="22"/>
      <c r="N72" s="22"/>
      <c r="O72" s="22"/>
      <c r="P72" s="184"/>
    </row>
    <row r="73" spans="2:16" ht="15" customHeight="1">
      <c r="B73" s="915" t="s">
        <v>80</v>
      </c>
      <c r="C73" s="916"/>
      <c r="D73" s="96"/>
      <c r="E73" s="77"/>
      <c r="F73" s="907" t="s">
        <v>77</v>
      </c>
      <c r="G73" s="909"/>
      <c r="H73" s="907" t="s">
        <v>75</v>
      </c>
      <c r="I73" s="909"/>
      <c r="J73" s="907" t="s">
        <v>78</v>
      </c>
      <c r="K73" s="909"/>
      <c r="L73" s="77"/>
      <c r="M73" s="907" t="str">
        <f>B58&amp;" - "&amp;B68</f>
        <v>2008 - 2010</v>
      </c>
      <c r="N73" s="908"/>
      <c r="O73" s="909"/>
      <c r="P73" s="185"/>
    </row>
    <row r="74" spans="2:16" ht="15" customHeight="1">
      <c r="B74" s="186" t="s">
        <v>76</v>
      </c>
      <c r="C74" s="97" t="s">
        <v>24</v>
      </c>
      <c r="D74" s="98" t="s">
        <v>25</v>
      </c>
      <c r="E74" s="97"/>
      <c r="F74" s="447" t="s">
        <v>223</v>
      </c>
      <c r="G74" s="448" t="s">
        <v>221</v>
      </c>
      <c r="H74" s="447" t="s">
        <v>223</v>
      </c>
      <c r="I74" s="448" t="s">
        <v>221</v>
      </c>
      <c r="J74" s="447" t="s">
        <v>223</v>
      </c>
      <c r="K74" s="448" t="s">
        <v>221</v>
      </c>
      <c r="L74" s="77"/>
      <c r="M74" s="920" t="s">
        <v>96</v>
      </c>
      <c r="N74" s="921"/>
      <c r="O74" s="922"/>
      <c r="P74" s="187" t="s">
        <v>25</v>
      </c>
    </row>
    <row r="75" spans="2:16" ht="15" customHeight="1">
      <c r="B75" s="188" t="s">
        <v>12</v>
      </c>
      <c r="C75" s="160" t="s">
        <v>79</v>
      </c>
      <c r="D75" s="161" t="s">
        <v>12</v>
      </c>
      <c r="E75" s="97"/>
      <c r="F75" s="100" t="str">
        <f>$F$10</f>
        <v>kW*Yrs</v>
      </c>
      <c r="G75" s="99" t="str">
        <f>$G$10</f>
        <v>kWh</v>
      </c>
      <c r="H75" s="100" t="str">
        <f>$H$10</f>
        <v>kW*Yrs</v>
      </c>
      <c r="I75" s="99" t="str">
        <f>$I$10</f>
        <v>kWh</v>
      </c>
      <c r="J75" s="101" t="str">
        <f>$J$10</f>
        <v>kW*Yrs</v>
      </c>
      <c r="K75" s="102" t="str">
        <f>$K$10</f>
        <v>kWh</v>
      </c>
      <c r="L75" s="103"/>
      <c r="M75" s="162" t="s">
        <v>53</v>
      </c>
      <c r="N75" s="163" t="s">
        <v>24</v>
      </c>
      <c r="O75" s="163" t="s">
        <v>83</v>
      </c>
      <c r="P75" s="189" t="s">
        <v>29</v>
      </c>
    </row>
    <row r="76" spans="2:16" ht="15" customHeight="1">
      <c r="B76" s="466">
        <f ca="1">IF(ISERROR(AVERAGE(B61,B66,B71)),"-",AVERAGE(B61,B66,B71))</f>
        <v>37666.666666666664</v>
      </c>
      <c r="C76" s="164">
        <f ca="1">IF(ISERROR(AVERAGE(C61,C66,C71)),"-",AVERAGE(C61,C66,C71))</f>
        <v>31216.956666666665</v>
      </c>
      <c r="D76" s="165">
        <f ca="1">IF(ISERROR(C76/B76),"-",(C76/B76))</f>
        <v>0.82876876106194697</v>
      </c>
      <c r="E76" s="166"/>
      <c r="F76" s="167">
        <f ca="1">IF(ISERROR(AVERAGE(F61,F66,F71)),"-",AVERAGE(F61,F66,F71))</f>
        <v>262.98</v>
      </c>
      <c r="G76" s="168">
        <f ca="1">IF(ISERROR(AVERAGE(G61,G66,G71)),"-",AVERAGE(G61,G66,G71))</f>
        <v>7348229.1223333329</v>
      </c>
      <c r="H76" s="167">
        <f ca="1">IF(ISERROR(AVERAGE(H61,H66,H71)),"-",AVERAGE(H61,H66,H71))</f>
        <v>131.78666666666666</v>
      </c>
      <c r="I76" s="168">
        <f ca="1">IF(ISERROR(AVERAGE(I61,I66,I71)),"-",AVERAGE(I61,I66,I71))</f>
        <v>3575026.6666666665</v>
      </c>
      <c r="J76" s="169">
        <f ca="1">IF(ISERROR(H76/F76),"-",(H76/F76))</f>
        <v>0.50112809592617935</v>
      </c>
      <c r="K76" s="170">
        <f ca="1">IF(ISERROR(I76/G76),"-",(I76/G76))</f>
        <v>0.48651540488866302</v>
      </c>
      <c r="L76" s="171"/>
      <c r="M76" s="172">
        <f ca="1">IF(ISERROR(AVERAGE(M61,M66,M71)),"-",AVERAGE(M61,M66,M71))</f>
        <v>855.33333333333337</v>
      </c>
      <c r="N76" s="172">
        <f ca="1">IF(ISERROR(AVERAGE(N61,N66,N71)),"-",AVERAGE(N61,N66,N71))</f>
        <v>1160.3333333333333</v>
      </c>
      <c r="O76" s="172">
        <f ca="1">IF(ISERROR(AVERAGE(O61,O66,O71)),"-",AVERAGE(O61,O66,O71))</f>
        <v>0</v>
      </c>
      <c r="P76" s="467">
        <f ca="1">IF(ISERROR(N76/M76),"-",(N76/M76))</f>
        <v>1.3565861262665626</v>
      </c>
    </row>
    <row r="77" spans="2:16" ht="15" customHeight="1">
      <c r="B77" s="200"/>
      <c r="C77" s="22"/>
      <c r="D77" s="22"/>
      <c r="E77" s="42"/>
      <c r="F77" s="22"/>
      <c r="G77" s="22"/>
      <c r="H77" s="22"/>
      <c r="I77" s="22"/>
      <c r="J77" s="22"/>
      <c r="K77" s="22"/>
      <c r="L77" s="42"/>
      <c r="M77" s="22"/>
      <c r="N77" s="22"/>
      <c r="O77" s="22"/>
      <c r="P77" s="460"/>
    </row>
    <row r="78" spans="2:16" ht="15" customHeight="1" thickBot="1">
      <c r="B78" s="545" t="str">
        <f>$B$28</f>
        <v>*Lifetime Savings</v>
      </c>
      <c r="C78" s="209"/>
      <c r="D78" s="209"/>
      <c r="E78" s="470"/>
      <c r="F78" s="209"/>
      <c r="G78" s="209"/>
      <c r="H78" s="209"/>
      <c r="I78" s="209"/>
      <c r="J78" s="209"/>
      <c r="K78" s="209"/>
      <c r="L78" s="470"/>
      <c r="M78" s="209"/>
      <c r="N78" s="209"/>
      <c r="O78" s="209"/>
      <c r="P78" s="471"/>
    </row>
    <row r="79" spans="2:16" ht="15" customHeight="1">
      <c r="B79" s="9"/>
      <c r="C79" s="9"/>
      <c r="D79" s="9"/>
      <c r="E79" s="9"/>
      <c r="F79" s="9"/>
      <c r="G79" s="9"/>
      <c r="H79" s="9"/>
      <c r="I79" s="9"/>
      <c r="J79" s="9"/>
      <c r="K79" s="9"/>
      <c r="L79" s="9"/>
      <c r="M79" s="9"/>
      <c r="N79" s="9"/>
      <c r="O79" s="9"/>
      <c r="P79" s="9"/>
    </row>
    <row r="80" spans="2:16" ht="15" customHeight="1" thickBot="1">
      <c r="B80" s="9"/>
      <c r="C80" s="9"/>
      <c r="D80" s="9"/>
      <c r="E80" s="92"/>
      <c r="F80" s="9"/>
      <c r="G80" s="9"/>
      <c r="H80" s="9"/>
      <c r="I80" s="9"/>
      <c r="J80" s="9"/>
      <c r="K80" s="9"/>
      <c r="L80" s="92"/>
      <c r="M80" s="9"/>
      <c r="N80" s="9"/>
      <c r="O80" s="9"/>
      <c r="P80" s="93"/>
    </row>
    <row r="81" spans="2:17" ht="15" customHeight="1">
      <c r="B81" s="917" t="str">
        <f ca="1">'A2'!A12</f>
        <v>Commercial Lighting</v>
      </c>
      <c r="C81" s="918"/>
      <c r="D81" s="918"/>
      <c r="E81" s="918"/>
      <c r="F81" s="918"/>
      <c r="G81" s="918"/>
      <c r="H81" s="918"/>
      <c r="I81" s="918"/>
      <c r="J81" s="918"/>
      <c r="K81" s="918"/>
      <c r="L81" s="918"/>
      <c r="M81" s="918"/>
      <c r="N81" s="918"/>
      <c r="O81" s="918"/>
      <c r="P81" s="919"/>
      <c r="Q81" s="76">
        <v>4</v>
      </c>
    </row>
    <row r="82" spans="2:17" ht="15" customHeight="1">
      <c r="B82" s="183"/>
      <c r="C82" s="94"/>
      <c r="D82" s="94"/>
      <c r="E82" s="95"/>
      <c r="F82" s="94"/>
      <c r="G82" s="94"/>
      <c r="H82" s="94"/>
      <c r="I82" s="94"/>
      <c r="J82" s="94"/>
      <c r="K82" s="94"/>
      <c r="L82" s="95"/>
      <c r="M82" s="94"/>
      <c r="N82" s="23"/>
      <c r="O82" s="23"/>
      <c r="P82" s="184"/>
    </row>
    <row r="83" spans="2:17" ht="15" customHeight="1">
      <c r="B83" s="913">
        <f>$B$8</f>
        <v>2008</v>
      </c>
      <c r="C83" s="914"/>
      <c r="D83" s="96"/>
      <c r="E83" s="77"/>
      <c r="F83" s="907" t="s">
        <v>77</v>
      </c>
      <c r="G83" s="909"/>
      <c r="H83" s="907" t="s">
        <v>75</v>
      </c>
      <c r="I83" s="909"/>
      <c r="J83" s="907" t="s">
        <v>78</v>
      </c>
      <c r="K83" s="909"/>
      <c r="L83" s="77"/>
      <c r="M83" s="907">
        <f>B83</f>
        <v>2008</v>
      </c>
      <c r="N83" s="908"/>
      <c r="O83" s="909"/>
      <c r="P83" s="185"/>
    </row>
    <row r="84" spans="2:17" ht="15" customHeight="1">
      <c r="B84" s="186" t="s">
        <v>76</v>
      </c>
      <c r="C84" s="97" t="s">
        <v>24</v>
      </c>
      <c r="D84" s="98" t="s">
        <v>25</v>
      </c>
      <c r="E84" s="97"/>
      <c r="F84" s="447" t="s">
        <v>223</v>
      </c>
      <c r="G84" s="448" t="s">
        <v>221</v>
      </c>
      <c r="H84" s="447" t="s">
        <v>223</v>
      </c>
      <c r="I84" s="448" t="s">
        <v>221</v>
      </c>
      <c r="J84" s="447" t="s">
        <v>223</v>
      </c>
      <c r="K84" s="448" t="s">
        <v>221</v>
      </c>
      <c r="L84" s="77"/>
      <c r="M84" s="920" t="s">
        <v>96</v>
      </c>
      <c r="N84" s="921"/>
      <c r="O84" s="922"/>
      <c r="P84" s="187" t="s">
        <v>25</v>
      </c>
    </row>
    <row r="85" spans="2:17" ht="15" customHeight="1">
      <c r="B85" s="188" t="s">
        <v>12</v>
      </c>
      <c r="C85" s="160" t="s">
        <v>79</v>
      </c>
      <c r="D85" s="161" t="s">
        <v>12</v>
      </c>
      <c r="E85" s="97"/>
      <c r="F85" s="100" t="str">
        <f>$F$10</f>
        <v>kW*Yrs</v>
      </c>
      <c r="G85" s="99" t="str">
        <f>$G$10</f>
        <v>kWh</v>
      </c>
      <c r="H85" s="100" t="str">
        <f>$H$10</f>
        <v>kW*Yrs</v>
      </c>
      <c r="I85" s="99" t="str">
        <f>$I$10</f>
        <v>kWh</v>
      </c>
      <c r="J85" s="101" t="str">
        <f>$J$10</f>
        <v>kW*Yrs</v>
      </c>
      <c r="K85" s="102" t="str">
        <f>$K$10</f>
        <v>kWh</v>
      </c>
      <c r="L85" s="103"/>
      <c r="M85" s="162" t="s">
        <v>53</v>
      </c>
      <c r="N85" s="163" t="s">
        <v>24</v>
      </c>
      <c r="O85" s="163" t="s">
        <v>83</v>
      </c>
      <c r="P85" s="189" t="s">
        <v>29</v>
      </c>
    </row>
    <row r="86" spans="2:17" ht="15" customHeight="1">
      <c r="B86" s="190">
        <f ca="1">INDIRECT("A2!"&amp;"D"&amp;VLOOKUP("Budget",'A2'!$M$3:$N$6,2,FALSE)+Q81)</f>
        <v>54482</v>
      </c>
      <c r="C86" s="164">
        <f ca="1">INDIRECT("A2!"&amp;"E"&amp;VLOOKUP("Budget",'A2'!$M$3:$N$6,2,FALSE)+Q81)</f>
        <v>46513</v>
      </c>
      <c r="D86" s="165">
        <f ca="1">IF(ISERROR(C86/B86),"-",(C86/B86))</f>
        <v>0.85373150765390404</v>
      </c>
      <c r="E86" s="166"/>
      <c r="F86" s="167">
        <f ca="1">INDIRECT("A2!"&amp;"D"&amp;VLOOKUP("Demand",'A2'!$M$3:$N$6,2,FALSE)+Q81)</f>
        <v>224.63</v>
      </c>
      <c r="G86" s="168">
        <f ca="1">INDIRECT("A2!"&amp;"D"&amp;VLOOKUP("Energy",'A2'!$M$3:$N$6,2,FALSE)+Q81)</f>
        <v>8115290</v>
      </c>
      <c r="H86" s="167">
        <f ca="1">INDIRECT("A2!"&amp;"E"&amp;VLOOKUP("Demand",'A2'!$M$3:$N$6,2,FALSE)+Q81)</f>
        <v>300.88</v>
      </c>
      <c r="I86" s="168">
        <f ca="1">INDIRECT("A2!"&amp;"E"&amp;VLOOKUP("Energy",'A2'!$M$3:$N$6,2,FALSE)+Q81)</f>
        <v>12153940</v>
      </c>
      <c r="J86" s="169">
        <f ca="1">IF(ISERROR(H86/F86),"-",(H86/F86))</f>
        <v>1.3394470907714908</v>
      </c>
      <c r="K86" s="170">
        <f ca="1">IF(ISERROR(I86/G86),"-",(I86/G86))</f>
        <v>1.497659356597238</v>
      </c>
      <c r="L86" s="171"/>
      <c r="M86" s="172">
        <f ca="1">INDIRECT("A2!"&amp;"C"&amp;VLOOKUP("Participant",'A2'!$M$3:$N$6,2,FALSE)+Q81)</f>
        <v>26</v>
      </c>
      <c r="N86" s="172">
        <f ca="1">INDIRECT("A2!"&amp;"D"&amp;VLOOKUP("Participant",'A2'!$M$3:$N$6,2,FALSE)+Q81)</f>
        <v>8</v>
      </c>
      <c r="O86" s="172">
        <f ca="1">INDIRECT("A2!"&amp;"E"&amp;VLOOKUP("Participant",'A2'!$M$3:$N$6,2,FALSE)+Q81)</f>
        <v>0</v>
      </c>
      <c r="P86" s="191">
        <f ca="1">IF(ISERROR(N86/M86),"-",(N86/M86))</f>
        <v>0.30769230769230771</v>
      </c>
    </row>
    <row r="87" spans="2:17" ht="15" customHeight="1">
      <c r="B87" s="183"/>
      <c r="C87" s="94"/>
      <c r="D87" s="94"/>
      <c r="E87" s="37"/>
      <c r="F87" s="94"/>
      <c r="G87" s="94"/>
      <c r="H87" s="94"/>
      <c r="I87" s="94"/>
      <c r="J87" s="94"/>
      <c r="K87" s="94"/>
      <c r="L87" s="37"/>
      <c r="M87" s="94"/>
      <c r="N87" s="23"/>
      <c r="O87" s="23"/>
      <c r="P87" s="184"/>
    </row>
    <row r="88" spans="2:17" ht="15" customHeight="1">
      <c r="B88" s="913">
        <f>$B$13</f>
        <v>2009</v>
      </c>
      <c r="C88" s="914"/>
      <c r="D88" s="96"/>
      <c r="E88" s="77"/>
      <c r="F88" s="907" t="s">
        <v>77</v>
      </c>
      <c r="G88" s="909"/>
      <c r="H88" s="907" t="s">
        <v>75</v>
      </c>
      <c r="I88" s="909"/>
      <c r="J88" s="907" t="s">
        <v>78</v>
      </c>
      <c r="K88" s="909"/>
      <c r="L88" s="77"/>
      <c r="M88" s="907">
        <f>B88</f>
        <v>2009</v>
      </c>
      <c r="N88" s="908"/>
      <c r="O88" s="909"/>
      <c r="P88" s="185"/>
    </row>
    <row r="89" spans="2:17" ht="15" customHeight="1">
      <c r="B89" s="186" t="s">
        <v>76</v>
      </c>
      <c r="C89" s="97" t="s">
        <v>24</v>
      </c>
      <c r="D89" s="98" t="s">
        <v>25</v>
      </c>
      <c r="E89" s="97"/>
      <c r="F89" s="447" t="s">
        <v>223</v>
      </c>
      <c r="G89" s="448" t="s">
        <v>221</v>
      </c>
      <c r="H89" s="447" t="s">
        <v>223</v>
      </c>
      <c r="I89" s="448" t="s">
        <v>221</v>
      </c>
      <c r="J89" s="447" t="s">
        <v>223</v>
      </c>
      <c r="K89" s="448" t="s">
        <v>221</v>
      </c>
      <c r="L89" s="77"/>
      <c r="M89" s="920" t="s">
        <v>96</v>
      </c>
      <c r="N89" s="921"/>
      <c r="O89" s="922"/>
      <c r="P89" s="187" t="s">
        <v>25</v>
      </c>
    </row>
    <row r="90" spans="2:17" ht="15" customHeight="1">
      <c r="B90" s="188" t="s">
        <v>12</v>
      </c>
      <c r="C90" s="160" t="s">
        <v>79</v>
      </c>
      <c r="D90" s="161" t="s">
        <v>12</v>
      </c>
      <c r="E90" s="97"/>
      <c r="F90" s="100" t="str">
        <f>$F$10</f>
        <v>kW*Yrs</v>
      </c>
      <c r="G90" s="99" t="str">
        <f>$G$10</f>
        <v>kWh</v>
      </c>
      <c r="H90" s="100" t="str">
        <f>$H$10</f>
        <v>kW*Yrs</v>
      </c>
      <c r="I90" s="99" t="str">
        <f>$I$10</f>
        <v>kWh</v>
      </c>
      <c r="J90" s="101" t="str">
        <f>$J$10</f>
        <v>kW*Yrs</v>
      </c>
      <c r="K90" s="102" t="str">
        <f>$K$10</f>
        <v>kWh</v>
      </c>
      <c r="L90" s="103"/>
      <c r="M90" s="162" t="s">
        <v>53</v>
      </c>
      <c r="N90" s="163" t="s">
        <v>24</v>
      </c>
      <c r="O90" s="163" t="s">
        <v>83</v>
      </c>
      <c r="P90" s="189" t="s">
        <v>29</v>
      </c>
    </row>
    <row r="91" spans="2:17" ht="15" customHeight="1">
      <c r="B91" s="190">
        <f ca="1">INDIRECT("A2!"&amp;"F"&amp;VLOOKUP("Budget",'A2'!$M$3:$N$6,2,FALSE)+Q81)</f>
        <v>54482</v>
      </c>
      <c r="C91" s="164">
        <f ca="1">INDIRECT("A2!"&amp;"G"&amp;VLOOKUP("Budget",'A2'!$M$3:$N$6,2,FALSE)+Q81)</f>
        <v>81963</v>
      </c>
      <c r="D91" s="165">
        <f ca="1">IF(ISERROR(C91/B91),"-",(C91/B91))</f>
        <v>1.5044051246283177</v>
      </c>
      <c r="E91" s="166"/>
      <c r="F91" s="167">
        <f ca="1">INDIRECT("A2!"&amp;"F"&amp;VLOOKUP("Demand",'A2'!$M$3:$N$6,2,FALSE)+Q81)</f>
        <v>449.26</v>
      </c>
      <c r="G91" s="168">
        <f ca="1">INDIRECT("A2!"&amp;"F"&amp;VLOOKUP("Energy",'A2'!$M$3:$N$6,2,FALSE)+Q81)</f>
        <v>16230580</v>
      </c>
      <c r="H91" s="167">
        <f ca="1">INDIRECT("A2!"&amp;"G"&amp;VLOOKUP("Demand",'A2'!$M$3:$N$6,2,FALSE)+Q81)</f>
        <v>694.06</v>
      </c>
      <c r="I91" s="168">
        <f ca="1">INDIRECT("A2!"&amp;"G"&amp;VLOOKUP("Energy",'A2'!$M$3:$N$6,2,FALSE)+Q81)</f>
        <v>46061370</v>
      </c>
      <c r="J91" s="169">
        <f ca="1">IF(ISERROR(H91/F91),"-",(H91/F91))</f>
        <v>1.5448960512843342</v>
      </c>
      <c r="K91" s="170">
        <f ca="1">IF(ISERROR(I91/G91),"-",(I91/G91))</f>
        <v>2.837937399649304</v>
      </c>
      <c r="L91" s="171"/>
      <c r="M91" s="172">
        <f ca="1">INDIRECT("A2!"&amp;"F"&amp;VLOOKUP("Participant",'A2'!$M$3:$N$6,2,FALSE)+Q81)</f>
        <v>13</v>
      </c>
      <c r="N91" s="172">
        <f ca="1">INDIRECT("A2!"&amp;"G"&amp;VLOOKUP("Participant",'A2'!$M$3:$N$6,2,FALSE)+Q81)</f>
        <v>10</v>
      </c>
      <c r="O91" s="172">
        <f ca="1">INDIRECT("A2!"&amp;"H"&amp;VLOOKUP("Participant",'A2'!$M$3:$N$6,2,FALSE)+Q81)</f>
        <v>0</v>
      </c>
      <c r="P91" s="191">
        <f ca="1">IF(ISERROR(N91/M91),"-",(N91/M91))</f>
        <v>0.76923076923076927</v>
      </c>
    </row>
    <row r="92" spans="2:17" ht="15" customHeight="1">
      <c r="B92" s="192"/>
      <c r="C92" s="37"/>
      <c r="D92" s="37"/>
      <c r="E92" s="37"/>
      <c r="F92" s="37"/>
      <c r="G92" s="37"/>
      <c r="H92" s="37"/>
      <c r="I92" s="37"/>
      <c r="J92" s="37"/>
      <c r="K92" s="37"/>
      <c r="L92" s="37"/>
      <c r="M92" s="37"/>
      <c r="N92" s="77"/>
      <c r="O92" s="77"/>
      <c r="P92" s="193"/>
    </row>
    <row r="93" spans="2:17" ht="15" customHeight="1">
      <c r="B93" s="913">
        <f>$B$18</f>
        <v>2010</v>
      </c>
      <c r="C93" s="914"/>
      <c r="D93" s="96"/>
      <c r="E93" s="77"/>
      <c r="F93" s="907" t="s">
        <v>77</v>
      </c>
      <c r="G93" s="909"/>
      <c r="H93" s="907" t="s">
        <v>75</v>
      </c>
      <c r="I93" s="909"/>
      <c r="J93" s="907" t="s">
        <v>78</v>
      </c>
      <c r="K93" s="909"/>
      <c r="L93" s="77"/>
      <c r="M93" s="907">
        <f>B93</f>
        <v>2010</v>
      </c>
      <c r="N93" s="908"/>
      <c r="O93" s="909"/>
      <c r="P93" s="185"/>
    </row>
    <row r="94" spans="2:17" ht="15" customHeight="1">
      <c r="B94" s="186" t="s">
        <v>76</v>
      </c>
      <c r="C94" s="97" t="s">
        <v>24</v>
      </c>
      <c r="D94" s="98" t="s">
        <v>25</v>
      </c>
      <c r="E94" s="97"/>
      <c r="F94" s="447" t="s">
        <v>223</v>
      </c>
      <c r="G94" s="448" t="s">
        <v>221</v>
      </c>
      <c r="H94" s="447" t="s">
        <v>223</v>
      </c>
      <c r="I94" s="448" t="s">
        <v>221</v>
      </c>
      <c r="J94" s="447" t="s">
        <v>223</v>
      </c>
      <c r="K94" s="448" t="s">
        <v>221</v>
      </c>
      <c r="L94" s="77"/>
      <c r="M94" s="920" t="s">
        <v>96</v>
      </c>
      <c r="N94" s="921"/>
      <c r="O94" s="922"/>
      <c r="P94" s="187" t="s">
        <v>25</v>
      </c>
    </row>
    <row r="95" spans="2:17" ht="15" customHeight="1">
      <c r="B95" s="188" t="s">
        <v>12</v>
      </c>
      <c r="C95" s="160" t="s">
        <v>79</v>
      </c>
      <c r="D95" s="161" t="s">
        <v>12</v>
      </c>
      <c r="E95" s="97"/>
      <c r="F95" s="100" t="str">
        <f>$F$10</f>
        <v>kW*Yrs</v>
      </c>
      <c r="G95" s="99" t="str">
        <f>$G$10</f>
        <v>kWh</v>
      </c>
      <c r="H95" s="100" t="str">
        <f>$H$10</f>
        <v>kW*Yrs</v>
      </c>
      <c r="I95" s="99" t="str">
        <f>$I$10</f>
        <v>kWh</v>
      </c>
      <c r="J95" s="101" t="str">
        <f>$J$10</f>
        <v>kW*Yrs</v>
      </c>
      <c r="K95" s="102" t="str">
        <f>$K$10</f>
        <v>kWh</v>
      </c>
      <c r="L95" s="103"/>
      <c r="M95" s="162" t="s">
        <v>53</v>
      </c>
      <c r="N95" s="163" t="s">
        <v>24</v>
      </c>
      <c r="O95" s="163" t="s">
        <v>83</v>
      </c>
      <c r="P95" s="189" t="s">
        <v>29</v>
      </c>
    </row>
    <row r="96" spans="2:17" ht="15" customHeight="1">
      <c r="B96" s="190">
        <f ca="1">INDIRECT("A2!"&amp;"H"&amp;VLOOKUP("Budget",'A2'!$M$3:$N$6,2,FALSE)+Q81)</f>
        <v>55440</v>
      </c>
      <c r="C96" s="164">
        <f ca="1">INDIRECT("A2!"&amp;"I"&amp;VLOOKUP("Budget",'A2'!$M$3:$N$6,2,FALSE)+Q81)</f>
        <v>38104.33</v>
      </c>
      <c r="D96" s="165">
        <f ca="1">IF(ISERROR(C96/B96),"-",(C96/B96))</f>
        <v>0.68730753968253966</v>
      </c>
      <c r="E96" s="166"/>
      <c r="F96" s="167">
        <f ca="1">INDIRECT("A2!"&amp;"H"&amp;VLOOKUP("Demand",'A2'!$M$3:$N$6,2,FALSE)+Q81)</f>
        <v>280</v>
      </c>
      <c r="G96" s="168">
        <f ca="1">INDIRECT("A2!"&amp;"H"&amp;VLOOKUP("Energy",'A2'!$M$3:$N$6,2,FALSE)+Q81)</f>
        <v>15000750.000000002</v>
      </c>
      <c r="H96" s="167">
        <f ca="1">INDIRECT("A2!"&amp;"I"&amp;VLOOKUP("Demand",'A2'!$M$3:$N$6,2,FALSE)+Q81)</f>
        <v>431.66549999999995</v>
      </c>
      <c r="I96" s="168">
        <f ca="1">INDIRECT("A2!"&amp;"I"&amp;VLOOKUP("Energy",'A2'!$M$3:$N$6,2,FALSE)+Q81)</f>
        <v>14465848.2864</v>
      </c>
      <c r="J96" s="169">
        <f ca="1">IF(ISERROR(H96/F96),"-",(H96/F96))</f>
        <v>1.5416624999999999</v>
      </c>
      <c r="K96" s="170">
        <f ca="1">IF(ISERROR(I96/G96),"-",(I96/G96))</f>
        <v>0.96434166867656601</v>
      </c>
      <c r="L96" s="171"/>
      <c r="M96" s="172">
        <f ca="1">INDIRECT("A2!"&amp;"I"&amp;VLOOKUP("Participant",'A2'!$M$3:$N$6,2,FALSE)+Q81)</f>
        <v>15</v>
      </c>
      <c r="N96" s="172">
        <f ca="1">INDIRECT("A2!"&amp;"J"&amp;VLOOKUP("Participant",'A2'!$M$3:$N$6,2,FALSE)+Q81)</f>
        <v>23</v>
      </c>
      <c r="O96" s="172">
        <f ca="1">INDIRECT("A2!"&amp;"K"&amp;VLOOKUP("Participant",'A2'!$M$3:$N$6,2,FALSE)+Q81)</f>
        <v>0</v>
      </c>
      <c r="P96" s="191">
        <f ca="1">IF(ISERROR(N96/M96),"-",(N96/M96))</f>
        <v>1.5333333333333334</v>
      </c>
    </row>
    <row r="97" spans="2:17" ht="15" customHeight="1">
      <c r="B97" s="194"/>
      <c r="C97" s="22"/>
      <c r="D97" s="22"/>
      <c r="E97" s="42"/>
      <c r="F97" s="22"/>
      <c r="G97" s="22"/>
      <c r="H97" s="22"/>
      <c r="I97" s="22"/>
      <c r="J97" s="22"/>
      <c r="K97" s="22"/>
      <c r="L97" s="42"/>
      <c r="M97" s="22"/>
      <c r="N97" s="22"/>
      <c r="O97" s="22"/>
      <c r="P97" s="184"/>
    </row>
    <row r="98" spans="2:17" ht="15" customHeight="1">
      <c r="B98" s="915" t="s">
        <v>80</v>
      </c>
      <c r="C98" s="916"/>
      <c r="D98" s="96"/>
      <c r="E98" s="77"/>
      <c r="F98" s="907" t="s">
        <v>77</v>
      </c>
      <c r="G98" s="909"/>
      <c r="H98" s="907" t="s">
        <v>75</v>
      </c>
      <c r="I98" s="909"/>
      <c r="J98" s="907" t="s">
        <v>78</v>
      </c>
      <c r="K98" s="909"/>
      <c r="L98" s="77"/>
      <c r="M98" s="907" t="str">
        <f>B83&amp;" - "&amp;B93</f>
        <v>2008 - 2010</v>
      </c>
      <c r="N98" s="908"/>
      <c r="O98" s="909"/>
      <c r="P98" s="185"/>
    </row>
    <row r="99" spans="2:17" ht="15" customHeight="1">
      <c r="B99" s="186" t="s">
        <v>76</v>
      </c>
      <c r="C99" s="97" t="s">
        <v>24</v>
      </c>
      <c r="D99" s="98" t="s">
        <v>25</v>
      </c>
      <c r="E99" s="97"/>
      <c r="F99" s="447" t="s">
        <v>223</v>
      </c>
      <c r="G99" s="448" t="s">
        <v>221</v>
      </c>
      <c r="H99" s="447" t="s">
        <v>223</v>
      </c>
      <c r="I99" s="448" t="s">
        <v>221</v>
      </c>
      <c r="J99" s="447" t="s">
        <v>223</v>
      </c>
      <c r="K99" s="448" t="s">
        <v>221</v>
      </c>
      <c r="L99" s="77"/>
      <c r="M99" s="920" t="s">
        <v>96</v>
      </c>
      <c r="N99" s="921"/>
      <c r="O99" s="922"/>
      <c r="P99" s="187" t="s">
        <v>25</v>
      </c>
    </row>
    <row r="100" spans="2:17" ht="15" customHeight="1">
      <c r="B100" s="188" t="s">
        <v>12</v>
      </c>
      <c r="C100" s="160" t="s">
        <v>79</v>
      </c>
      <c r="D100" s="161" t="s">
        <v>12</v>
      </c>
      <c r="E100" s="97"/>
      <c r="F100" s="100" t="str">
        <f>$F$10</f>
        <v>kW*Yrs</v>
      </c>
      <c r="G100" s="99" t="str">
        <f>$G$10</f>
        <v>kWh</v>
      </c>
      <c r="H100" s="100" t="str">
        <f>$H$10</f>
        <v>kW*Yrs</v>
      </c>
      <c r="I100" s="99" t="str">
        <f>$I$10</f>
        <v>kWh</v>
      </c>
      <c r="J100" s="101" t="str">
        <f>$J$10</f>
        <v>kW*Yrs</v>
      </c>
      <c r="K100" s="102" t="str">
        <f>$K$10</f>
        <v>kWh</v>
      </c>
      <c r="L100" s="103"/>
      <c r="M100" s="162" t="s">
        <v>53</v>
      </c>
      <c r="N100" s="163" t="s">
        <v>24</v>
      </c>
      <c r="O100" s="163" t="s">
        <v>83</v>
      </c>
      <c r="P100" s="189" t="s">
        <v>29</v>
      </c>
    </row>
    <row r="101" spans="2:17" ht="15" customHeight="1">
      <c r="B101" s="466">
        <f ca="1">IF(ISERROR(AVERAGE(B86,B91,B96)),"-",AVERAGE(B86,B91,B96))</f>
        <v>54801.333333333336</v>
      </c>
      <c r="C101" s="164">
        <f ca="1">IF(ISERROR(AVERAGE(C86,C91,C96)),"-",AVERAGE(C86,C91,C96))</f>
        <v>55526.776666666672</v>
      </c>
      <c r="D101" s="165">
        <f ca="1">IF(ISERROR(C101/B101),"-",(C101/B101))</f>
        <v>1.0132376949465951</v>
      </c>
      <c r="E101" s="166"/>
      <c r="F101" s="167">
        <f ca="1">IF(ISERROR(AVERAGE(F86,F91,F96)),"-",AVERAGE(F86,F91,F96))</f>
        <v>317.96333333333331</v>
      </c>
      <c r="G101" s="168">
        <f ca="1">IF(ISERROR(AVERAGE(G86,G91,G96)),"-",AVERAGE(G86,G91,G96))</f>
        <v>13115540</v>
      </c>
      <c r="H101" s="167">
        <f ca="1">IF(ISERROR(AVERAGE(H86,H91,H96)),"-",AVERAGE(H86,H91,H96))</f>
        <v>475.53516666666661</v>
      </c>
      <c r="I101" s="168">
        <f ca="1">IF(ISERROR(AVERAGE(I86,I91,I96)),"-",AVERAGE(I86,I91,I96))</f>
        <v>24227052.762133334</v>
      </c>
      <c r="J101" s="169">
        <f ca="1">IF(ISERROR(H101/F101),"-",(H101/F101))</f>
        <v>1.4955660505928356</v>
      </c>
      <c r="K101" s="170">
        <f ca="1">IF(ISERROR(I101/G101),"-",(I101/G101))</f>
        <v>1.847202079528051</v>
      </c>
      <c r="L101" s="171"/>
      <c r="M101" s="172">
        <f ca="1">IF(ISERROR(AVERAGE(M86,M91,M96)),"-",AVERAGE(M86,M91,M96))</f>
        <v>18</v>
      </c>
      <c r="N101" s="172">
        <f ca="1">IF(ISERROR(AVERAGE(N86,N91,N96)),"-",AVERAGE(N86,N91,N96))</f>
        <v>13.666666666666666</v>
      </c>
      <c r="O101" s="172">
        <f ca="1">IF(ISERROR(AVERAGE(O86,O91,O96)),"-",AVERAGE(O86,O91,O96))</f>
        <v>0</v>
      </c>
      <c r="P101" s="467">
        <f ca="1">IF(ISERROR(N101/M101),"-",(N101/M101))</f>
        <v>0.75925925925925919</v>
      </c>
    </row>
    <row r="102" spans="2:17" ht="15" customHeight="1">
      <c r="B102" s="200"/>
      <c r="C102" s="22"/>
      <c r="D102" s="22"/>
      <c r="E102" s="42"/>
      <c r="F102" s="22"/>
      <c r="G102" s="22"/>
      <c r="H102" s="22"/>
      <c r="I102" s="22"/>
      <c r="J102" s="22"/>
      <c r="K102" s="22"/>
      <c r="L102" s="42"/>
      <c r="M102" s="22"/>
      <c r="N102" s="22"/>
      <c r="O102" s="22"/>
      <c r="P102" s="460"/>
    </row>
    <row r="103" spans="2:17" ht="15" customHeight="1" thickBot="1">
      <c r="B103" s="545" t="str">
        <f>$B$28</f>
        <v>*Lifetime Savings</v>
      </c>
      <c r="C103" s="209"/>
      <c r="D103" s="209"/>
      <c r="E103" s="470"/>
      <c r="F103" s="209"/>
      <c r="G103" s="209"/>
      <c r="H103" s="209"/>
      <c r="I103" s="209"/>
      <c r="J103" s="209"/>
      <c r="K103" s="209"/>
      <c r="L103" s="470"/>
      <c r="M103" s="209"/>
      <c r="N103" s="209"/>
      <c r="O103" s="209"/>
      <c r="P103" s="471"/>
    </row>
    <row r="104" spans="2:17" ht="15" customHeight="1">
      <c r="B104" s="9"/>
      <c r="C104" s="9"/>
      <c r="D104" s="9"/>
      <c r="E104" s="9"/>
      <c r="F104" s="9"/>
      <c r="G104" s="9"/>
      <c r="H104" s="9"/>
      <c r="I104" s="9"/>
      <c r="J104" s="9"/>
      <c r="K104" s="9"/>
      <c r="L104" s="9"/>
      <c r="M104" s="9"/>
      <c r="N104" s="9"/>
      <c r="O104" s="9"/>
      <c r="P104" s="9"/>
    </row>
    <row r="105" spans="2:17" ht="15" customHeight="1" thickBot="1">
      <c r="B105" s="9"/>
      <c r="C105" s="9"/>
      <c r="D105" s="9"/>
      <c r="E105" s="92"/>
      <c r="F105" s="9"/>
      <c r="G105" s="9"/>
      <c r="H105" s="9"/>
      <c r="I105" s="9"/>
      <c r="J105" s="9"/>
      <c r="K105" s="9"/>
      <c r="L105" s="92"/>
      <c r="M105" s="9"/>
      <c r="N105" s="9"/>
      <c r="O105" s="9"/>
      <c r="P105" s="93"/>
    </row>
    <row r="106" spans="2:17" ht="15" customHeight="1">
      <c r="B106" s="917" t="str">
        <f ca="1">'A2'!A13</f>
        <v>Commercial Motors</v>
      </c>
      <c r="C106" s="918"/>
      <c r="D106" s="918"/>
      <c r="E106" s="918"/>
      <c r="F106" s="918"/>
      <c r="G106" s="918"/>
      <c r="H106" s="918"/>
      <c r="I106" s="918"/>
      <c r="J106" s="918"/>
      <c r="K106" s="918"/>
      <c r="L106" s="918"/>
      <c r="M106" s="918"/>
      <c r="N106" s="918"/>
      <c r="O106" s="918"/>
      <c r="P106" s="919"/>
      <c r="Q106" s="76">
        <v>5</v>
      </c>
    </row>
    <row r="107" spans="2:17" ht="15" customHeight="1">
      <c r="B107" s="183"/>
      <c r="C107" s="94"/>
      <c r="D107" s="94"/>
      <c r="E107" s="95"/>
      <c r="F107" s="94"/>
      <c r="G107" s="94"/>
      <c r="H107" s="94"/>
      <c r="I107" s="94"/>
      <c r="J107" s="94"/>
      <c r="K107" s="94"/>
      <c r="L107" s="95"/>
      <c r="M107" s="94"/>
      <c r="N107" s="23"/>
      <c r="O107" s="23"/>
      <c r="P107" s="184"/>
    </row>
    <row r="108" spans="2:17" ht="15" customHeight="1">
      <c r="B108" s="913">
        <f>$B$8</f>
        <v>2008</v>
      </c>
      <c r="C108" s="914"/>
      <c r="D108" s="96"/>
      <c r="E108" s="77"/>
      <c r="F108" s="907" t="s">
        <v>77</v>
      </c>
      <c r="G108" s="909"/>
      <c r="H108" s="907" t="s">
        <v>75</v>
      </c>
      <c r="I108" s="909"/>
      <c r="J108" s="907" t="s">
        <v>78</v>
      </c>
      <c r="K108" s="909"/>
      <c r="L108" s="77"/>
      <c r="M108" s="907">
        <f>B108</f>
        <v>2008</v>
      </c>
      <c r="N108" s="908"/>
      <c r="O108" s="909"/>
      <c r="P108" s="185"/>
    </row>
    <row r="109" spans="2:17" ht="15" customHeight="1">
      <c r="B109" s="186" t="s">
        <v>76</v>
      </c>
      <c r="C109" s="97" t="s">
        <v>24</v>
      </c>
      <c r="D109" s="98" t="s">
        <v>25</v>
      </c>
      <c r="E109" s="97"/>
      <c r="F109" s="447" t="s">
        <v>223</v>
      </c>
      <c r="G109" s="448" t="s">
        <v>221</v>
      </c>
      <c r="H109" s="447" t="s">
        <v>223</v>
      </c>
      <c r="I109" s="448" t="s">
        <v>221</v>
      </c>
      <c r="J109" s="447" t="s">
        <v>223</v>
      </c>
      <c r="K109" s="448" t="s">
        <v>221</v>
      </c>
      <c r="L109" s="77"/>
      <c r="M109" s="920" t="s">
        <v>96</v>
      </c>
      <c r="N109" s="921"/>
      <c r="O109" s="922"/>
      <c r="P109" s="187" t="s">
        <v>25</v>
      </c>
    </row>
    <row r="110" spans="2:17" ht="15" customHeight="1">
      <c r="B110" s="188" t="s">
        <v>12</v>
      </c>
      <c r="C110" s="160" t="s">
        <v>79</v>
      </c>
      <c r="D110" s="161" t="s">
        <v>12</v>
      </c>
      <c r="E110" s="97"/>
      <c r="F110" s="100" t="str">
        <f>$F$10</f>
        <v>kW*Yrs</v>
      </c>
      <c r="G110" s="99" t="str">
        <f>$G$10</f>
        <v>kWh</v>
      </c>
      <c r="H110" s="100" t="str">
        <f>$H$10</f>
        <v>kW*Yrs</v>
      </c>
      <c r="I110" s="99" t="str">
        <f>$I$10</f>
        <v>kWh</v>
      </c>
      <c r="J110" s="101" t="str">
        <f>$J$10</f>
        <v>kW*Yrs</v>
      </c>
      <c r="K110" s="102" t="str">
        <f>$K$10</f>
        <v>kWh</v>
      </c>
      <c r="L110" s="103"/>
      <c r="M110" s="162" t="s">
        <v>53</v>
      </c>
      <c r="N110" s="163" t="s">
        <v>24</v>
      </c>
      <c r="O110" s="163" t="s">
        <v>83</v>
      </c>
      <c r="P110" s="189" t="s">
        <v>29</v>
      </c>
    </row>
    <row r="111" spans="2:17" ht="15" customHeight="1">
      <c r="B111" s="190">
        <f ca="1">INDIRECT("A2!"&amp;"D"&amp;VLOOKUP("Budget",'A2'!$M$3:$N$6,2,FALSE)+Q106)</f>
        <v>65550</v>
      </c>
      <c r="C111" s="164">
        <f ca="1">INDIRECT("A2!"&amp;"E"&amp;VLOOKUP("Budget",'A2'!$M$3:$N$6,2,FALSE)+Q106)</f>
        <v>51276</v>
      </c>
      <c r="D111" s="165">
        <f ca="1">IF(ISERROR(C111/B111),"-",(C111/B111))</f>
        <v>0.7822425629290618</v>
      </c>
      <c r="E111" s="166"/>
      <c r="F111" s="167">
        <f ca="1">INDIRECT("A2!"&amp;"D"&amp;VLOOKUP("Demand",'A2'!$M$3:$N$6,2,FALSE)+Q106)</f>
        <v>13.12</v>
      </c>
      <c r="G111" s="168">
        <f ca="1">INDIRECT("A2!"&amp;"D"&amp;VLOOKUP("Energy",'A2'!$M$3:$N$6,2,FALSE)+Q106)</f>
        <v>544155</v>
      </c>
      <c r="H111" s="167">
        <f ca="1">INDIRECT("A2!"&amp;"E"&amp;VLOOKUP("Demand",'A2'!$M$3:$N$6,2,FALSE)+Q106)</f>
        <v>3.68</v>
      </c>
      <c r="I111" s="168">
        <f ca="1">INDIRECT("A2!"&amp;"E"&amp;VLOOKUP("Energy",'A2'!$M$3:$N$6,2,FALSE)+Q106)</f>
        <v>163200</v>
      </c>
      <c r="J111" s="169">
        <f ca="1">IF(ISERROR(H111/F111),"-",(H111/F111))</f>
        <v>0.28048780487804881</v>
      </c>
      <c r="K111" s="170">
        <f ca="1">IF(ISERROR(I111/G111),"-",(I111/G111))</f>
        <v>0.29991454640681425</v>
      </c>
      <c r="L111" s="171"/>
      <c r="M111" s="172">
        <f ca="1">INDIRECT("A2!"&amp;"C"&amp;VLOOKUP("Participant",'A2'!$M$3:$N$6,2,FALSE)+Q106)</f>
        <v>50</v>
      </c>
      <c r="N111" s="172">
        <f ca="1">INDIRECT("A2!"&amp;"D"&amp;VLOOKUP("Participant",'A2'!$M$3:$N$6,2,FALSE)+Q106)</f>
        <v>16</v>
      </c>
      <c r="O111" s="172">
        <f ca="1">INDIRECT("A2!"&amp;"E"&amp;VLOOKUP("Participant",'A2'!$M$3:$N$6,2,FALSE)+Q106)</f>
        <v>0</v>
      </c>
      <c r="P111" s="191">
        <f ca="1">IF(ISERROR(N111/M111),"-",(N111/M111))</f>
        <v>0.32</v>
      </c>
    </row>
    <row r="112" spans="2:17" ht="15" customHeight="1">
      <c r="B112" s="183"/>
      <c r="C112" s="94"/>
      <c r="D112" s="94"/>
      <c r="E112" s="37"/>
      <c r="F112" s="94"/>
      <c r="G112" s="94"/>
      <c r="H112" s="94"/>
      <c r="I112" s="94"/>
      <c r="J112" s="94"/>
      <c r="K112" s="94"/>
      <c r="L112" s="37"/>
      <c r="M112" s="94"/>
      <c r="N112" s="23"/>
      <c r="O112" s="23"/>
      <c r="P112" s="184"/>
    </row>
    <row r="113" spans="2:16" ht="15" customHeight="1">
      <c r="B113" s="913">
        <f>$B$13</f>
        <v>2009</v>
      </c>
      <c r="C113" s="914"/>
      <c r="D113" s="96"/>
      <c r="E113" s="77"/>
      <c r="F113" s="907" t="s">
        <v>77</v>
      </c>
      <c r="G113" s="909"/>
      <c r="H113" s="907" t="s">
        <v>75</v>
      </c>
      <c r="I113" s="909"/>
      <c r="J113" s="907" t="s">
        <v>78</v>
      </c>
      <c r="K113" s="909"/>
      <c r="L113" s="77"/>
      <c r="M113" s="907">
        <f>B113</f>
        <v>2009</v>
      </c>
      <c r="N113" s="908"/>
      <c r="O113" s="909"/>
      <c r="P113" s="185"/>
    </row>
    <row r="114" spans="2:16" ht="15" customHeight="1">
      <c r="B114" s="186" t="s">
        <v>76</v>
      </c>
      <c r="C114" s="97" t="s">
        <v>24</v>
      </c>
      <c r="D114" s="98" t="s">
        <v>25</v>
      </c>
      <c r="E114" s="97"/>
      <c r="F114" s="447" t="s">
        <v>223</v>
      </c>
      <c r="G114" s="448" t="s">
        <v>221</v>
      </c>
      <c r="H114" s="447" t="s">
        <v>223</v>
      </c>
      <c r="I114" s="448" t="s">
        <v>221</v>
      </c>
      <c r="J114" s="447" t="s">
        <v>223</v>
      </c>
      <c r="K114" s="448" t="s">
        <v>221</v>
      </c>
      <c r="L114" s="77"/>
      <c r="M114" s="920" t="s">
        <v>96</v>
      </c>
      <c r="N114" s="921"/>
      <c r="O114" s="922"/>
      <c r="P114" s="187" t="s">
        <v>25</v>
      </c>
    </row>
    <row r="115" spans="2:16" ht="15" customHeight="1">
      <c r="B115" s="188" t="s">
        <v>12</v>
      </c>
      <c r="C115" s="160" t="s">
        <v>79</v>
      </c>
      <c r="D115" s="161" t="s">
        <v>12</v>
      </c>
      <c r="E115" s="97"/>
      <c r="F115" s="100" t="str">
        <f>$F$10</f>
        <v>kW*Yrs</v>
      </c>
      <c r="G115" s="99" t="str">
        <f>$G$10</f>
        <v>kWh</v>
      </c>
      <c r="H115" s="100" t="str">
        <f>$H$10</f>
        <v>kW*Yrs</v>
      </c>
      <c r="I115" s="99" t="str">
        <f>$I$10</f>
        <v>kWh</v>
      </c>
      <c r="J115" s="101" t="str">
        <f>$J$10</f>
        <v>kW*Yrs</v>
      </c>
      <c r="K115" s="102" t="str">
        <f>$K$10</f>
        <v>kWh</v>
      </c>
      <c r="L115" s="103"/>
      <c r="M115" s="162" t="s">
        <v>53</v>
      </c>
      <c r="N115" s="163" t="s">
        <v>24</v>
      </c>
      <c r="O115" s="163" t="s">
        <v>83</v>
      </c>
      <c r="P115" s="189" t="s">
        <v>29</v>
      </c>
    </row>
    <row r="116" spans="2:16" ht="15" customHeight="1">
      <c r="B116" s="190">
        <f ca="1">INDIRECT("A2!"&amp;"F"&amp;VLOOKUP("Budget",'A2'!$M$3:$N$6,2,FALSE)+Q106)</f>
        <v>65550</v>
      </c>
      <c r="C116" s="164">
        <f ca="1">INDIRECT("A2!"&amp;"G"&amp;VLOOKUP("Budget",'A2'!$M$3:$N$6,2,FALSE)+Q106)</f>
        <v>44600</v>
      </c>
      <c r="D116" s="165">
        <f ca="1">IF(ISERROR(C116/B116),"-",(C116/B116))</f>
        <v>0.6803966437833715</v>
      </c>
      <c r="E116" s="166"/>
      <c r="F116" s="167">
        <f ca="1">INDIRECT("A2!"&amp;"F"&amp;VLOOKUP("Demand",'A2'!$M$3:$N$6,2,FALSE)+Q106)</f>
        <v>26.25</v>
      </c>
      <c r="G116" s="168">
        <f ca="1">INDIRECT("A2!"&amp;"F"&amp;VLOOKUP("Energy",'A2'!$M$3:$N$6,2,FALSE)+Q106)</f>
        <v>1088295</v>
      </c>
      <c r="H116" s="167">
        <f ca="1">INDIRECT("A2!"&amp;"G"&amp;VLOOKUP("Demand",'A2'!$M$3:$N$6,2,FALSE)+Q106)</f>
        <v>1.47</v>
      </c>
      <c r="I116" s="168">
        <f ca="1">INDIRECT("A2!"&amp;"G"&amp;VLOOKUP("Energy",'A2'!$M$3:$N$6,2,FALSE)+Q106)</f>
        <v>88485</v>
      </c>
      <c r="J116" s="169">
        <f ca="1">IF(ISERROR(H116/F116),"-",(H116/F116))</f>
        <v>5.6000000000000001E-2</v>
      </c>
      <c r="K116" s="170">
        <f ca="1">IF(ISERROR(I116/G116),"-",(I116/G116))</f>
        <v>8.1306079693465469E-2</v>
      </c>
      <c r="L116" s="171"/>
      <c r="M116" s="172">
        <f ca="1">INDIRECT("A2!"&amp;"F"&amp;VLOOKUP("Participant",'A2'!$M$3:$N$6,2,FALSE)+Q106)</f>
        <v>25</v>
      </c>
      <c r="N116" s="172">
        <f ca="1">INDIRECT("A2!"&amp;"G"&amp;VLOOKUP("Participant",'A2'!$M$3:$N$6,2,FALSE)+Q106)</f>
        <v>3</v>
      </c>
      <c r="O116" s="172">
        <f ca="1">INDIRECT("A2!"&amp;"H"&amp;VLOOKUP("Participant",'A2'!$M$3:$N$6,2,FALSE)+Q106)</f>
        <v>0</v>
      </c>
      <c r="P116" s="191">
        <f ca="1">IF(ISERROR(N116/M116),"-",(N116/M116))</f>
        <v>0.12</v>
      </c>
    </row>
    <row r="117" spans="2:16" ht="15" customHeight="1">
      <c r="B117" s="192"/>
      <c r="C117" s="37"/>
      <c r="D117" s="37"/>
      <c r="E117" s="37"/>
      <c r="F117" s="37"/>
      <c r="G117" s="37"/>
      <c r="H117" s="37"/>
      <c r="I117" s="37"/>
      <c r="J117" s="37"/>
      <c r="K117" s="37"/>
      <c r="L117" s="37"/>
      <c r="M117" s="37"/>
      <c r="N117" s="77"/>
      <c r="O117" s="77"/>
      <c r="P117" s="193"/>
    </row>
    <row r="118" spans="2:16" ht="15" customHeight="1">
      <c r="B118" s="913">
        <f>$B$18</f>
        <v>2010</v>
      </c>
      <c r="C118" s="914"/>
      <c r="D118" s="96"/>
      <c r="E118" s="77"/>
      <c r="F118" s="907" t="s">
        <v>77</v>
      </c>
      <c r="G118" s="909"/>
      <c r="H118" s="907" t="s">
        <v>75</v>
      </c>
      <c r="I118" s="909"/>
      <c r="J118" s="907" t="s">
        <v>78</v>
      </c>
      <c r="K118" s="909"/>
      <c r="L118" s="77"/>
      <c r="M118" s="907">
        <f>B118</f>
        <v>2010</v>
      </c>
      <c r="N118" s="908"/>
      <c r="O118" s="909"/>
      <c r="P118" s="185"/>
    </row>
    <row r="119" spans="2:16" ht="15" customHeight="1">
      <c r="B119" s="186" t="s">
        <v>76</v>
      </c>
      <c r="C119" s="97" t="s">
        <v>24</v>
      </c>
      <c r="D119" s="98" t="s">
        <v>25</v>
      </c>
      <c r="E119" s="97"/>
      <c r="F119" s="447" t="s">
        <v>223</v>
      </c>
      <c r="G119" s="448" t="s">
        <v>221</v>
      </c>
      <c r="H119" s="447" t="s">
        <v>223</v>
      </c>
      <c r="I119" s="448" t="s">
        <v>221</v>
      </c>
      <c r="J119" s="447" t="s">
        <v>223</v>
      </c>
      <c r="K119" s="448" t="s">
        <v>221</v>
      </c>
      <c r="L119" s="77"/>
      <c r="M119" s="920" t="s">
        <v>96</v>
      </c>
      <c r="N119" s="921"/>
      <c r="O119" s="922"/>
      <c r="P119" s="187" t="s">
        <v>25</v>
      </c>
    </row>
    <row r="120" spans="2:16" ht="15" customHeight="1">
      <c r="B120" s="188" t="s">
        <v>12</v>
      </c>
      <c r="C120" s="160" t="s">
        <v>79</v>
      </c>
      <c r="D120" s="161" t="s">
        <v>12</v>
      </c>
      <c r="E120" s="97"/>
      <c r="F120" s="100" t="str">
        <f>$F$10</f>
        <v>kW*Yrs</v>
      </c>
      <c r="G120" s="99" t="str">
        <f>$G$10</f>
        <v>kWh</v>
      </c>
      <c r="H120" s="100" t="str">
        <f>$H$10</f>
        <v>kW*Yrs</v>
      </c>
      <c r="I120" s="99" t="str">
        <f>$I$10</f>
        <v>kWh</v>
      </c>
      <c r="J120" s="101" t="str">
        <f>$J$10</f>
        <v>kW*Yrs</v>
      </c>
      <c r="K120" s="102" t="str">
        <f>$K$10</f>
        <v>kWh</v>
      </c>
      <c r="L120" s="103"/>
      <c r="M120" s="162" t="s">
        <v>53</v>
      </c>
      <c r="N120" s="163" t="s">
        <v>24</v>
      </c>
      <c r="O120" s="163" t="s">
        <v>83</v>
      </c>
      <c r="P120" s="189" t="s">
        <v>29</v>
      </c>
    </row>
    <row r="121" spans="2:16" ht="15" customHeight="1">
      <c r="B121" s="190">
        <f ca="1">INDIRECT("A2!"&amp;"H"&amp;VLOOKUP("Budget",'A2'!$M$3:$N$6,2,FALSE)+Q106)</f>
        <v>7500</v>
      </c>
      <c r="C121" s="164">
        <f ca="1">INDIRECT("A2!"&amp;"I"&amp;VLOOKUP("Budget",'A2'!$M$3:$N$6,2,FALSE)+Q106)</f>
        <v>11243.93</v>
      </c>
      <c r="D121" s="165">
        <f ca="1">IF(ISERROR(C121/B121),"-",(C121/B121))</f>
        <v>1.4991906666666668</v>
      </c>
      <c r="E121" s="166"/>
      <c r="F121" s="167">
        <f ca="1">INDIRECT("A2!"&amp;"H"&amp;VLOOKUP("Demand",'A2'!$M$3:$N$6,2,FALSE)+Q106)</f>
        <v>13</v>
      </c>
      <c r="G121" s="168">
        <f ca="1">INDIRECT("A2!"&amp;"H"&amp;VLOOKUP("Energy",'A2'!$M$3:$N$6,2,FALSE)+Q106)</f>
        <v>740703.70000000007</v>
      </c>
      <c r="H121" s="167">
        <f ca="1">INDIRECT("A2!"&amp;"I"&amp;VLOOKUP("Demand",'A2'!$M$3:$N$6,2,FALSE)+Q106)</f>
        <v>21.289950000000001</v>
      </c>
      <c r="I121" s="168">
        <f ca="1">INDIRECT("A2!"&amp;"I"&amp;VLOOKUP("Energy",'A2'!$M$3:$N$6,2,FALSE)+Q106)</f>
        <v>1389834.9574999998</v>
      </c>
      <c r="J121" s="169">
        <f ca="1">IF(ISERROR(H121/F121),"-",(H121/F121))</f>
        <v>1.6376884615384617</v>
      </c>
      <c r="K121" s="170">
        <f ca="1">IF(ISERROR(I121/G121),"-",(I121/G121))</f>
        <v>1.8763710205578825</v>
      </c>
      <c r="L121" s="171"/>
      <c r="M121" s="172">
        <f ca="1">INDIRECT("A2!"&amp;"I"&amp;VLOOKUP("Participant",'A2'!$M$3:$N$6,2,FALSE)+Q106)</f>
        <v>25</v>
      </c>
      <c r="N121" s="172">
        <f ca="1">INDIRECT("A2!"&amp;"J"&amp;VLOOKUP("Participant",'A2'!$M$3:$N$6,2,FALSE)+Q106)</f>
        <v>21</v>
      </c>
      <c r="O121" s="172">
        <f ca="1">INDIRECT("A2!"&amp;"K"&amp;VLOOKUP("Participant",'A2'!$M$3:$N$6,2,FALSE)+Q106)</f>
        <v>0</v>
      </c>
      <c r="P121" s="191">
        <f ca="1">IF(ISERROR(N121/M121),"-",(N121/M121))</f>
        <v>0.84</v>
      </c>
    </row>
    <row r="122" spans="2:16" ht="15" customHeight="1">
      <c r="B122" s="194"/>
      <c r="C122" s="22"/>
      <c r="D122" s="22"/>
      <c r="E122" s="42"/>
      <c r="F122" s="22"/>
      <c r="G122" s="22"/>
      <c r="H122" s="22"/>
      <c r="I122" s="22"/>
      <c r="J122" s="22"/>
      <c r="K122" s="22"/>
      <c r="L122" s="42"/>
      <c r="M122" s="22"/>
      <c r="N122" s="22"/>
      <c r="O122" s="22"/>
      <c r="P122" s="184"/>
    </row>
    <row r="123" spans="2:16" ht="15" customHeight="1">
      <c r="B123" s="915" t="s">
        <v>80</v>
      </c>
      <c r="C123" s="916"/>
      <c r="D123" s="96"/>
      <c r="E123" s="77"/>
      <c r="F123" s="907" t="s">
        <v>77</v>
      </c>
      <c r="G123" s="909"/>
      <c r="H123" s="907" t="s">
        <v>75</v>
      </c>
      <c r="I123" s="909"/>
      <c r="J123" s="907" t="s">
        <v>78</v>
      </c>
      <c r="K123" s="909"/>
      <c r="L123" s="77"/>
      <c r="M123" s="907" t="str">
        <f>B108&amp;" - "&amp;B118</f>
        <v>2008 - 2010</v>
      </c>
      <c r="N123" s="908"/>
      <c r="O123" s="909"/>
      <c r="P123" s="185"/>
    </row>
    <row r="124" spans="2:16" ht="15" customHeight="1">
      <c r="B124" s="186" t="s">
        <v>76</v>
      </c>
      <c r="C124" s="97" t="s">
        <v>24</v>
      </c>
      <c r="D124" s="98" t="s">
        <v>25</v>
      </c>
      <c r="E124" s="97"/>
      <c r="F124" s="447" t="s">
        <v>223</v>
      </c>
      <c r="G124" s="448" t="s">
        <v>221</v>
      </c>
      <c r="H124" s="447" t="s">
        <v>223</v>
      </c>
      <c r="I124" s="448" t="s">
        <v>221</v>
      </c>
      <c r="J124" s="447" t="s">
        <v>223</v>
      </c>
      <c r="K124" s="448" t="s">
        <v>221</v>
      </c>
      <c r="L124" s="77"/>
      <c r="M124" s="920" t="s">
        <v>96</v>
      </c>
      <c r="N124" s="921"/>
      <c r="O124" s="922"/>
      <c r="P124" s="187" t="s">
        <v>25</v>
      </c>
    </row>
    <row r="125" spans="2:16" ht="15" customHeight="1">
      <c r="B125" s="188" t="s">
        <v>12</v>
      </c>
      <c r="C125" s="160" t="s">
        <v>79</v>
      </c>
      <c r="D125" s="161" t="s">
        <v>12</v>
      </c>
      <c r="E125" s="97"/>
      <c r="F125" s="100" t="str">
        <f>$F$10</f>
        <v>kW*Yrs</v>
      </c>
      <c r="G125" s="99" t="str">
        <f>$G$10</f>
        <v>kWh</v>
      </c>
      <c r="H125" s="100" t="str">
        <f>$H$10</f>
        <v>kW*Yrs</v>
      </c>
      <c r="I125" s="99" t="str">
        <f>$I$10</f>
        <v>kWh</v>
      </c>
      <c r="J125" s="101" t="str">
        <f>$J$10</f>
        <v>kW*Yrs</v>
      </c>
      <c r="K125" s="102" t="str">
        <f>$K$10</f>
        <v>kWh</v>
      </c>
      <c r="L125" s="103"/>
      <c r="M125" s="162" t="s">
        <v>53</v>
      </c>
      <c r="N125" s="163" t="s">
        <v>24</v>
      </c>
      <c r="O125" s="163" t="s">
        <v>83</v>
      </c>
      <c r="P125" s="189" t="s">
        <v>29</v>
      </c>
    </row>
    <row r="126" spans="2:16" ht="15" customHeight="1">
      <c r="B126" s="466">
        <f ca="1">IF(ISERROR(AVERAGE(B111,B116,B121)),"-",AVERAGE(B111,B116,B121))</f>
        <v>46200</v>
      </c>
      <c r="C126" s="164">
        <f ca="1">IF(ISERROR(AVERAGE(C111,C116,C121)),"-",AVERAGE(C111,C116,C121))</f>
        <v>35706.643333333333</v>
      </c>
      <c r="D126" s="165">
        <f ca="1">IF(ISERROR(C126/B126),"-",(C126/B126))</f>
        <v>0.77287106782106785</v>
      </c>
      <c r="E126" s="166"/>
      <c r="F126" s="167">
        <f ca="1">IF(ISERROR(AVERAGE(F111,F116,F121)),"-",AVERAGE(F111,F116,F121))</f>
        <v>17.456666666666667</v>
      </c>
      <c r="G126" s="168">
        <f ca="1">IF(ISERROR(AVERAGE(G111,G116,G121)),"-",AVERAGE(G111,G116,G121))</f>
        <v>791051.2333333334</v>
      </c>
      <c r="H126" s="167">
        <f ca="1">IF(ISERROR(AVERAGE(H111,H116,H121)),"-",AVERAGE(H111,H116,H121))</f>
        <v>8.8133166666666671</v>
      </c>
      <c r="I126" s="168">
        <f ca="1">IF(ISERROR(AVERAGE(I111,I116,I121)),"-",AVERAGE(I111,I116,I121))</f>
        <v>547173.3191666666</v>
      </c>
      <c r="J126" s="169">
        <f ca="1">IF(ISERROR(H126/F126),"-",(H126/F126))</f>
        <v>0.50486824517853734</v>
      </c>
      <c r="K126" s="170">
        <f ca="1">IF(ISERROR(I126/G126),"-",(I126/G126))</f>
        <v>0.69170402131981579</v>
      </c>
      <c r="L126" s="171"/>
      <c r="M126" s="172">
        <f ca="1">IF(ISERROR(AVERAGE(M111,M116,M121)),"-",AVERAGE(M111,M116,M121))</f>
        <v>33.333333333333336</v>
      </c>
      <c r="N126" s="172">
        <f ca="1">IF(ISERROR(AVERAGE(N111,N116,N121)),"-",AVERAGE(N111,N116,N121))</f>
        <v>13.333333333333334</v>
      </c>
      <c r="O126" s="172">
        <f ca="1">IF(ISERROR(AVERAGE(O111,O116,O121)),"-",AVERAGE(O111,O116,O121))</f>
        <v>0</v>
      </c>
      <c r="P126" s="467">
        <f ca="1">IF(ISERROR(N126/M126),"-",(N126/M126))</f>
        <v>0.39999999999999997</v>
      </c>
    </row>
    <row r="127" spans="2:16" ht="15" customHeight="1">
      <c r="B127" s="200"/>
      <c r="C127" s="22"/>
      <c r="D127" s="22"/>
      <c r="E127" s="42"/>
      <c r="F127" s="22"/>
      <c r="G127" s="22"/>
      <c r="H127" s="22"/>
      <c r="I127" s="22"/>
      <c r="J127" s="22"/>
      <c r="K127" s="22"/>
      <c r="L127" s="42"/>
      <c r="M127" s="22"/>
      <c r="N127" s="22"/>
      <c r="O127" s="22"/>
      <c r="P127" s="460"/>
    </row>
    <row r="128" spans="2:16" ht="15" customHeight="1" thickBot="1">
      <c r="B128" s="545" t="str">
        <f>$B$28</f>
        <v>*Lifetime Savings</v>
      </c>
      <c r="C128" s="209"/>
      <c r="D128" s="209"/>
      <c r="E128" s="470"/>
      <c r="F128" s="209"/>
      <c r="G128" s="209"/>
      <c r="H128" s="209"/>
      <c r="I128" s="209"/>
      <c r="J128" s="209"/>
      <c r="K128" s="209"/>
      <c r="L128" s="470"/>
      <c r="M128" s="209"/>
      <c r="N128" s="209"/>
      <c r="O128" s="209"/>
      <c r="P128" s="471"/>
    </row>
    <row r="129" spans="2:17" ht="15" customHeight="1">
      <c r="B129" s="105"/>
      <c r="C129" s="105"/>
      <c r="D129" s="105"/>
      <c r="E129" s="37"/>
      <c r="F129" s="105"/>
      <c r="G129" s="105"/>
      <c r="H129" s="105"/>
      <c r="I129" s="105"/>
      <c r="J129" s="105"/>
      <c r="K129" s="105"/>
      <c r="L129" s="37"/>
      <c r="M129" s="105"/>
      <c r="N129" s="23"/>
      <c r="O129" s="23"/>
      <c r="P129" s="93"/>
    </row>
    <row r="130" spans="2:17" ht="15" customHeight="1" thickBot="1">
      <c r="B130" s="105"/>
      <c r="C130" s="105"/>
      <c r="D130" s="105"/>
      <c r="E130" s="37"/>
      <c r="F130" s="105"/>
      <c r="G130" s="105"/>
      <c r="H130" s="105"/>
      <c r="I130" s="105"/>
      <c r="J130" s="105"/>
      <c r="K130" s="105"/>
      <c r="L130" s="37"/>
      <c r="M130" s="105"/>
      <c r="N130" s="23"/>
      <c r="O130" s="23"/>
      <c r="P130" s="93"/>
    </row>
    <row r="131" spans="2:17" ht="15" customHeight="1">
      <c r="B131" s="917" t="str">
        <f ca="1">'A2'!A14</f>
        <v xml:space="preserve">Energy Efficiency Arkansas (Collaborative) </v>
      </c>
      <c r="C131" s="918"/>
      <c r="D131" s="918"/>
      <c r="E131" s="918"/>
      <c r="F131" s="918"/>
      <c r="G131" s="918"/>
      <c r="H131" s="918"/>
      <c r="I131" s="918"/>
      <c r="J131" s="918"/>
      <c r="K131" s="918"/>
      <c r="L131" s="918"/>
      <c r="M131" s="918"/>
      <c r="N131" s="918"/>
      <c r="O131" s="918"/>
      <c r="P131" s="919"/>
      <c r="Q131" s="76">
        <v>6</v>
      </c>
    </row>
    <row r="132" spans="2:17" ht="15" customHeight="1">
      <c r="B132" s="183"/>
      <c r="C132" s="94"/>
      <c r="D132" s="94"/>
      <c r="E132" s="95"/>
      <c r="F132" s="94"/>
      <c r="G132" s="94"/>
      <c r="H132" s="94"/>
      <c r="I132" s="94"/>
      <c r="J132" s="94"/>
      <c r="K132" s="94"/>
      <c r="L132" s="95"/>
      <c r="M132" s="94"/>
      <c r="N132" s="23"/>
      <c r="O132" s="23"/>
      <c r="P132" s="184"/>
    </row>
    <row r="133" spans="2:17" ht="15" customHeight="1">
      <c r="B133" s="913">
        <f>$B$8</f>
        <v>2008</v>
      </c>
      <c r="C133" s="914"/>
      <c r="D133" s="96"/>
      <c r="E133" s="77"/>
      <c r="F133" s="907" t="s">
        <v>77</v>
      </c>
      <c r="G133" s="909"/>
      <c r="H133" s="907" t="s">
        <v>75</v>
      </c>
      <c r="I133" s="909"/>
      <c r="J133" s="907" t="s">
        <v>78</v>
      </c>
      <c r="K133" s="909"/>
      <c r="L133" s="77"/>
      <c r="M133" s="907">
        <f>B133</f>
        <v>2008</v>
      </c>
      <c r="N133" s="908"/>
      <c r="O133" s="909"/>
      <c r="P133" s="185"/>
    </row>
    <row r="134" spans="2:17" ht="15" customHeight="1">
      <c r="B134" s="186" t="s">
        <v>76</v>
      </c>
      <c r="C134" s="97" t="s">
        <v>24</v>
      </c>
      <c r="D134" s="98" t="s">
        <v>25</v>
      </c>
      <c r="E134" s="97"/>
      <c r="F134" s="447" t="s">
        <v>223</v>
      </c>
      <c r="G134" s="448" t="s">
        <v>221</v>
      </c>
      <c r="H134" s="447" t="s">
        <v>223</v>
      </c>
      <c r="I134" s="448" t="s">
        <v>221</v>
      </c>
      <c r="J134" s="447" t="s">
        <v>223</v>
      </c>
      <c r="K134" s="448" t="s">
        <v>221</v>
      </c>
      <c r="L134" s="77"/>
      <c r="M134" s="920" t="s">
        <v>96</v>
      </c>
      <c r="N134" s="921"/>
      <c r="O134" s="922"/>
      <c r="P134" s="187" t="s">
        <v>25</v>
      </c>
    </row>
    <row r="135" spans="2:17" ht="15" customHeight="1">
      <c r="B135" s="188" t="s">
        <v>12</v>
      </c>
      <c r="C135" s="160" t="s">
        <v>79</v>
      </c>
      <c r="D135" s="161" t="s">
        <v>12</v>
      </c>
      <c r="E135" s="97"/>
      <c r="F135" s="100" t="str">
        <f>$F$10</f>
        <v>kW*Yrs</v>
      </c>
      <c r="G135" s="99" t="str">
        <f>$G$10</f>
        <v>kWh</v>
      </c>
      <c r="H135" s="100" t="str">
        <f>$H$10</f>
        <v>kW*Yrs</v>
      </c>
      <c r="I135" s="99" t="str">
        <f>$I$10</f>
        <v>kWh</v>
      </c>
      <c r="J135" s="101" t="str">
        <f>$J$10</f>
        <v>kW*Yrs</v>
      </c>
      <c r="K135" s="102" t="str">
        <f>$K$10</f>
        <v>kWh</v>
      </c>
      <c r="L135" s="103"/>
      <c r="M135" s="162" t="s">
        <v>53</v>
      </c>
      <c r="N135" s="163" t="s">
        <v>24</v>
      </c>
      <c r="O135" s="163" t="s">
        <v>83</v>
      </c>
      <c r="P135" s="189" t="s">
        <v>29</v>
      </c>
    </row>
    <row r="136" spans="2:17" ht="15" customHeight="1">
      <c r="B136" s="190">
        <f ca="1">INDIRECT("A2!"&amp;"D"&amp;VLOOKUP("Budget",'A2'!$M$3:$N$6,2,FALSE)+Q131)</f>
        <v>8600</v>
      </c>
      <c r="C136" s="164">
        <f ca="1">INDIRECT("A2!"&amp;"E"&amp;VLOOKUP("Budget",'A2'!$M$3:$N$6,2,FALSE)+Q131)</f>
        <v>55062</v>
      </c>
      <c r="D136" s="165">
        <f ca="1">IF(ISERROR(C136/B136),"-",(C136/B136))</f>
        <v>6.4025581395348841</v>
      </c>
      <c r="E136" s="166"/>
      <c r="F136" s="167">
        <f ca="1">INDIRECT("A2!"&amp;"D"&amp;VLOOKUP("Demand",'A2'!$M$3:$N$6,2,FALSE)+Q131)</f>
        <v>0</v>
      </c>
      <c r="G136" s="168">
        <f ca="1">INDIRECT("A2!"&amp;"D"&amp;VLOOKUP("Energy",'A2'!$M$3:$N$6,2,FALSE)+Q131)</f>
        <v>0</v>
      </c>
      <c r="H136" s="167">
        <f ca="1">INDIRECT("A2!"&amp;"E"&amp;VLOOKUP("Demand",'A2'!$M$3:$N$6,2,FALSE)+Q131)</f>
        <v>0</v>
      </c>
      <c r="I136" s="168">
        <f ca="1">INDIRECT("A2!"&amp;"E"&amp;VLOOKUP("Energy",'A2'!$M$3:$N$6,2,FALSE)+Q131)</f>
        <v>0</v>
      </c>
      <c r="J136" s="169" t="str">
        <f ca="1">IF(ISERROR(H136/F136),"-",(H136/F136))</f>
        <v>-</v>
      </c>
      <c r="K136" s="170" t="str">
        <f ca="1">IF(ISERROR(I136/G136),"-",(I136/G136))</f>
        <v>-</v>
      </c>
      <c r="L136" s="171"/>
      <c r="M136" s="172">
        <f ca="1">INDIRECT("A2!"&amp;"C"&amp;VLOOKUP("Participant",'A2'!$M$3:$N$6,2,FALSE)+Q131)</f>
        <v>0</v>
      </c>
      <c r="N136" s="172">
        <f ca="1">INDIRECT("A2!"&amp;"D"&amp;VLOOKUP("Participant",'A2'!$M$3:$N$6,2,FALSE)+Q131)</f>
        <v>0</v>
      </c>
      <c r="O136" s="172">
        <f ca="1">INDIRECT("A2!"&amp;"E"&amp;VLOOKUP("Participant",'A2'!$M$3:$N$6,2,FALSE)+Q131)</f>
        <v>0</v>
      </c>
      <c r="P136" s="191" t="str">
        <f ca="1">IF(ISERROR(N136/M136),"-",(N136/M136))</f>
        <v>-</v>
      </c>
    </row>
    <row r="137" spans="2:17" ht="15" customHeight="1">
      <c r="B137" s="183"/>
      <c r="C137" s="94"/>
      <c r="D137" s="94"/>
      <c r="E137" s="37"/>
      <c r="F137" s="94"/>
      <c r="G137" s="94"/>
      <c r="H137" s="94"/>
      <c r="I137" s="94"/>
      <c r="J137" s="94"/>
      <c r="K137" s="94"/>
      <c r="L137" s="37"/>
      <c r="M137" s="94"/>
      <c r="N137" s="23"/>
      <c r="O137" s="23"/>
      <c r="P137" s="184"/>
    </row>
    <row r="138" spans="2:17" ht="15" customHeight="1">
      <c r="B138" s="913">
        <f>$B$13</f>
        <v>2009</v>
      </c>
      <c r="C138" s="914"/>
      <c r="D138" s="96"/>
      <c r="E138" s="77"/>
      <c r="F138" s="907" t="s">
        <v>77</v>
      </c>
      <c r="G138" s="909"/>
      <c r="H138" s="907" t="s">
        <v>75</v>
      </c>
      <c r="I138" s="909"/>
      <c r="J138" s="907" t="s">
        <v>78</v>
      </c>
      <c r="K138" s="909"/>
      <c r="L138" s="77"/>
      <c r="M138" s="907">
        <f>B138</f>
        <v>2009</v>
      </c>
      <c r="N138" s="908"/>
      <c r="O138" s="909"/>
      <c r="P138" s="185"/>
    </row>
    <row r="139" spans="2:17" ht="15" customHeight="1">
      <c r="B139" s="186" t="s">
        <v>76</v>
      </c>
      <c r="C139" s="97" t="s">
        <v>24</v>
      </c>
      <c r="D139" s="98" t="s">
        <v>25</v>
      </c>
      <c r="E139" s="97"/>
      <c r="F139" s="447" t="s">
        <v>223</v>
      </c>
      <c r="G139" s="448" t="s">
        <v>221</v>
      </c>
      <c r="H139" s="447" t="s">
        <v>223</v>
      </c>
      <c r="I139" s="448" t="s">
        <v>221</v>
      </c>
      <c r="J139" s="447" t="s">
        <v>223</v>
      </c>
      <c r="K139" s="448" t="s">
        <v>221</v>
      </c>
      <c r="L139" s="77"/>
      <c r="M139" s="920" t="s">
        <v>96</v>
      </c>
      <c r="N139" s="921"/>
      <c r="O139" s="922"/>
      <c r="P139" s="187" t="s">
        <v>25</v>
      </c>
    </row>
    <row r="140" spans="2:17" ht="15" customHeight="1">
      <c r="B140" s="188" t="s">
        <v>12</v>
      </c>
      <c r="C140" s="160" t="s">
        <v>79</v>
      </c>
      <c r="D140" s="161" t="s">
        <v>12</v>
      </c>
      <c r="E140" s="97"/>
      <c r="F140" s="100" t="str">
        <f>$F$10</f>
        <v>kW*Yrs</v>
      </c>
      <c r="G140" s="99" t="str">
        <f>$G$10</f>
        <v>kWh</v>
      </c>
      <c r="H140" s="100" t="str">
        <f>$H$10</f>
        <v>kW*Yrs</v>
      </c>
      <c r="I140" s="99" t="str">
        <f>$I$10</f>
        <v>kWh</v>
      </c>
      <c r="J140" s="101" t="str">
        <f>$J$10</f>
        <v>kW*Yrs</v>
      </c>
      <c r="K140" s="102" t="str">
        <f>$K$10</f>
        <v>kWh</v>
      </c>
      <c r="L140" s="103"/>
      <c r="M140" s="162" t="s">
        <v>53</v>
      </c>
      <c r="N140" s="163" t="s">
        <v>24</v>
      </c>
      <c r="O140" s="163" t="s">
        <v>83</v>
      </c>
      <c r="P140" s="189" t="s">
        <v>29</v>
      </c>
    </row>
    <row r="141" spans="2:17" ht="15" customHeight="1">
      <c r="B141" s="190">
        <f ca="1">INDIRECT("A2!"&amp;"F"&amp;VLOOKUP("Budget",'A2'!$M$3:$N$6,2,FALSE)+Q131)</f>
        <v>43956</v>
      </c>
      <c r="C141" s="164">
        <f ca="1">INDIRECT("A2!"&amp;"G"&amp;VLOOKUP("Budget",'A2'!$M$3:$N$6,2,FALSE)+Q131)</f>
        <v>50267</v>
      </c>
      <c r="D141" s="165">
        <f ca="1">IF(ISERROR(C141/B141),"-",(C141/B141))</f>
        <v>1.1435753935753936</v>
      </c>
      <c r="E141" s="166"/>
      <c r="F141" s="167">
        <f ca="1">INDIRECT("A2!"&amp;"F"&amp;VLOOKUP("Demand",'A2'!$M$3:$N$6,2,FALSE)+Q131)</f>
        <v>0</v>
      </c>
      <c r="G141" s="168">
        <f ca="1">INDIRECT("A2!"&amp;"F"&amp;VLOOKUP("Energy",'A2'!$M$3:$N$6,2,FALSE)+Q131)</f>
        <v>0</v>
      </c>
      <c r="H141" s="167">
        <f ca="1">INDIRECT("A2!"&amp;"G"&amp;VLOOKUP("Demand",'A2'!$M$3:$N$6,2,FALSE)+Q131)</f>
        <v>0</v>
      </c>
      <c r="I141" s="168">
        <f ca="1">INDIRECT("A2!"&amp;"G"&amp;VLOOKUP("Energy",'A2'!$M$3:$N$6,2,FALSE)+Q131)</f>
        <v>0</v>
      </c>
      <c r="J141" s="169" t="str">
        <f ca="1">IF(ISERROR(H141/F141),"-",(H141/F141))</f>
        <v>-</v>
      </c>
      <c r="K141" s="170" t="str">
        <f ca="1">IF(ISERROR(I141/G141),"-",(I141/G141))</f>
        <v>-</v>
      </c>
      <c r="L141" s="171"/>
      <c r="M141" s="172">
        <f ca="1">INDIRECT("A2!"&amp;"F"&amp;VLOOKUP("Participant",'A2'!$M$3:$N$6,2,FALSE)+Q131)</f>
        <v>0</v>
      </c>
      <c r="N141" s="172">
        <f ca="1">INDIRECT("A2!"&amp;"G"&amp;VLOOKUP("Participant",'A2'!$M$3:$N$6,2,FALSE)+Q131)</f>
        <v>0</v>
      </c>
      <c r="O141" s="172">
        <f ca="1">INDIRECT("A2!"&amp;"H"&amp;VLOOKUP("Participant",'A2'!$M$3:$N$6,2,FALSE)+Q131)</f>
        <v>0</v>
      </c>
      <c r="P141" s="191" t="str">
        <f ca="1">IF(ISERROR(N141/M141),"-",(N141/M141))</f>
        <v>-</v>
      </c>
    </row>
    <row r="142" spans="2:17" ht="15" customHeight="1">
      <c r="B142" s="192"/>
      <c r="C142" s="37"/>
      <c r="D142" s="37"/>
      <c r="E142" s="37"/>
      <c r="F142" s="37"/>
      <c r="G142" s="37"/>
      <c r="H142" s="37"/>
      <c r="I142" s="37"/>
      <c r="J142" s="37"/>
      <c r="K142" s="37"/>
      <c r="L142" s="37"/>
      <c r="M142" s="37"/>
      <c r="N142" s="77"/>
      <c r="O142" s="77"/>
      <c r="P142" s="193"/>
    </row>
    <row r="143" spans="2:17" ht="15" customHeight="1">
      <c r="B143" s="913">
        <f>$B$18</f>
        <v>2010</v>
      </c>
      <c r="C143" s="914"/>
      <c r="D143" s="96"/>
      <c r="E143" s="77"/>
      <c r="F143" s="907" t="s">
        <v>77</v>
      </c>
      <c r="G143" s="909"/>
      <c r="H143" s="907" t="s">
        <v>75</v>
      </c>
      <c r="I143" s="909"/>
      <c r="J143" s="907" t="s">
        <v>78</v>
      </c>
      <c r="K143" s="909"/>
      <c r="L143" s="77"/>
      <c r="M143" s="907">
        <f>B143</f>
        <v>2010</v>
      </c>
      <c r="N143" s="908"/>
      <c r="O143" s="909"/>
      <c r="P143" s="185"/>
    </row>
    <row r="144" spans="2:17" ht="15" customHeight="1">
      <c r="B144" s="186" t="s">
        <v>76</v>
      </c>
      <c r="C144" s="97" t="s">
        <v>24</v>
      </c>
      <c r="D144" s="98" t="s">
        <v>25</v>
      </c>
      <c r="E144" s="97"/>
      <c r="F144" s="447" t="s">
        <v>223</v>
      </c>
      <c r="G144" s="448" t="s">
        <v>221</v>
      </c>
      <c r="H144" s="447" t="s">
        <v>223</v>
      </c>
      <c r="I144" s="448" t="s">
        <v>221</v>
      </c>
      <c r="J144" s="447" t="s">
        <v>223</v>
      </c>
      <c r="K144" s="448" t="s">
        <v>221</v>
      </c>
      <c r="L144" s="77"/>
      <c r="M144" s="920" t="s">
        <v>96</v>
      </c>
      <c r="N144" s="921"/>
      <c r="O144" s="922"/>
      <c r="P144" s="187" t="s">
        <v>25</v>
      </c>
    </row>
    <row r="145" spans="2:17" ht="15" customHeight="1">
      <c r="B145" s="188" t="s">
        <v>12</v>
      </c>
      <c r="C145" s="160" t="s">
        <v>79</v>
      </c>
      <c r="D145" s="161" t="s">
        <v>12</v>
      </c>
      <c r="E145" s="97"/>
      <c r="F145" s="100" t="str">
        <f>$F$10</f>
        <v>kW*Yrs</v>
      </c>
      <c r="G145" s="99" t="str">
        <f>$G$10</f>
        <v>kWh</v>
      </c>
      <c r="H145" s="100" t="str">
        <f>$H$10</f>
        <v>kW*Yrs</v>
      </c>
      <c r="I145" s="99" t="str">
        <f>$I$10</f>
        <v>kWh</v>
      </c>
      <c r="J145" s="101" t="str">
        <f>$J$10</f>
        <v>kW*Yrs</v>
      </c>
      <c r="K145" s="102" t="str">
        <f>$K$10</f>
        <v>kWh</v>
      </c>
      <c r="L145" s="103"/>
      <c r="M145" s="162" t="s">
        <v>53</v>
      </c>
      <c r="N145" s="163" t="s">
        <v>24</v>
      </c>
      <c r="O145" s="163" t="s">
        <v>83</v>
      </c>
      <c r="P145" s="189" t="s">
        <v>29</v>
      </c>
    </row>
    <row r="146" spans="2:17" ht="15" customHeight="1">
      <c r="B146" s="190">
        <f ca="1">INDIRECT("A2!"&amp;"H"&amp;VLOOKUP("Budget",'A2'!$M$3:$N$6,2,FALSE)+Q131)</f>
        <v>32045</v>
      </c>
      <c r="C146" s="164">
        <f ca="1">INDIRECT("A2!"&amp;"I"&amp;VLOOKUP("Budget",'A2'!$M$3:$N$6,2,FALSE)+Q131)</f>
        <v>30950.14</v>
      </c>
      <c r="D146" s="165">
        <f ca="1">IF(ISERROR(C146/B146),"-",(C146/B146))</f>
        <v>0.96583367139959431</v>
      </c>
      <c r="E146" s="166"/>
      <c r="F146" s="167">
        <f ca="1">INDIRECT("A2!"&amp;"H"&amp;VLOOKUP("Demand",'A2'!$M$3:$N$6,2,FALSE)+Q131)</f>
        <v>0</v>
      </c>
      <c r="G146" s="168">
        <f ca="1">INDIRECT("A2!"&amp;"H"&amp;VLOOKUP("Energy",'A2'!$M$3:$N$6,2,FALSE)+Q131)</f>
        <v>0</v>
      </c>
      <c r="H146" s="167">
        <f ca="1">INDIRECT("A2!"&amp;"I"&amp;VLOOKUP("Demand",'A2'!$M$3:$N$6,2,FALSE)+Q131)</f>
        <v>0</v>
      </c>
      <c r="I146" s="168">
        <f ca="1">INDIRECT("A2!"&amp;"I"&amp;VLOOKUP("Energy",'A2'!$M$3:$N$6,2,FALSE)+Q131)</f>
        <v>0</v>
      </c>
      <c r="J146" s="169" t="str">
        <f ca="1">IF(ISERROR(H146/F146),"-",(H146/F146))</f>
        <v>-</v>
      </c>
      <c r="K146" s="170" t="str">
        <f ca="1">IF(ISERROR(I146/G146),"-",(I146/G146))</f>
        <v>-</v>
      </c>
      <c r="L146" s="171"/>
      <c r="M146" s="172">
        <f ca="1">INDIRECT("A2!"&amp;"I"&amp;VLOOKUP("Participant",'A2'!$M$3:$N$6,2,FALSE)+Q131)</f>
        <v>1</v>
      </c>
      <c r="N146" s="172">
        <f ca="1">INDIRECT("A2!"&amp;"J"&amp;VLOOKUP("Participant",'A2'!$M$3:$N$6,2,FALSE)+Q131)</f>
        <v>0</v>
      </c>
      <c r="O146" s="172">
        <f ca="1">INDIRECT("A2!"&amp;"K"&amp;VLOOKUP("Participant",'A2'!$M$3:$N$6,2,FALSE)+Q131)</f>
        <v>0</v>
      </c>
      <c r="P146" s="191">
        <f ca="1">IF(ISERROR(N146/M146),"-",(N146/M146))</f>
        <v>0</v>
      </c>
    </row>
    <row r="147" spans="2:17" ht="15" customHeight="1">
      <c r="B147" s="194"/>
      <c r="C147" s="22"/>
      <c r="D147" s="22"/>
      <c r="E147" s="42"/>
      <c r="F147" s="22"/>
      <c r="G147" s="22"/>
      <c r="H147" s="22"/>
      <c r="I147" s="22"/>
      <c r="J147" s="22"/>
      <c r="K147" s="22"/>
      <c r="L147" s="42"/>
      <c r="M147" s="22"/>
      <c r="N147" s="22"/>
      <c r="O147" s="22"/>
      <c r="P147" s="184"/>
    </row>
    <row r="148" spans="2:17" ht="15" customHeight="1">
      <c r="B148" s="915" t="s">
        <v>80</v>
      </c>
      <c r="C148" s="916"/>
      <c r="D148" s="96"/>
      <c r="E148" s="77"/>
      <c r="F148" s="907" t="s">
        <v>77</v>
      </c>
      <c r="G148" s="909"/>
      <c r="H148" s="907" t="s">
        <v>75</v>
      </c>
      <c r="I148" s="909"/>
      <c r="J148" s="907" t="s">
        <v>78</v>
      </c>
      <c r="K148" s="909"/>
      <c r="L148" s="77"/>
      <c r="M148" s="907" t="str">
        <f>B133&amp;" - "&amp;B143</f>
        <v>2008 - 2010</v>
      </c>
      <c r="N148" s="908"/>
      <c r="O148" s="909"/>
      <c r="P148" s="185"/>
    </row>
    <row r="149" spans="2:17" ht="15" customHeight="1">
      <c r="B149" s="186" t="s">
        <v>76</v>
      </c>
      <c r="C149" s="97" t="s">
        <v>24</v>
      </c>
      <c r="D149" s="98" t="s">
        <v>25</v>
      </c>
      <c r="E149" s="97"/>
      <c r="F149" s="447" t="s">
        <v>223</v>
      </c>
      <c r="G149" s="448" t="s">
        <v>221</v>
      </c>
      <c r="H149" s="447" t="s">
        <v>223</v>
      </c>
      <c r="I149" s="448" t="s">
        <v>221</v>
      </c>
      <c r="J149" s="447" t="s">
        <v>223</v>
      </c>
      <c r="K149" s="448" t="s">
        <v>221</v>
      </c>
      <c r="L149" s="77"/>
      <c r="M149" s="920" t="s">
        <v>96</v>
      </c>
      <c r="N149" s="921"/>
      <c r="O149" s="922"/>
      <c r="P149" s="187" t="s">
        <v>25</v>
      </c>
    </row>
    <row r="150" spans="2:17" ht="15" customHeight="1">
      <c r="B150" s="188" t="s">
        <v>12</v>
      </c>
      <c r="C150" s="160" t="s">
        <v>79</v>
      </c>
      <c r="D150" s="161" t="s">
        <v>12</v>
      </c>
      <c r="E150" s="97"/>
      <c r="F150" s="100" t="str">
        <f>$F$10</f>
        <v>kW*Yrs</v>
      </c>
      <c r="G150" s="99" t="str">
        <f>$G$10</f>
        <v>kWh</v>
      </c>
      <c r="H150" s="100" t="str">
        <f>$H$10</f>
        <v>kW*Yrs</v>
      </c>
      <c r="I150" s="99" t="str">
        <f>$I$10</f>
        <v>kWh</v>
      </c>
      <c r="J150" s="101" t="str">
        <f>$J$10</f>
        <v>kW*Yrs</v>
      </c>
      <c r="K150" s="102" t="str">
        <f>$K$10</f>
        <v>kWh</v>
      </c>
      <c r="L150" s="103"/>
      <c r="M150" s="162" t="s">
        <v>53</v>
      </c>
      <c r="N150" s="163" t="s">
        <v>24</v>
      </c>
      <c r="O150" s="163" t="s">
        <v>83</v>
      </c>
      <c r="P150" s="189" t="s">
        <v>29</v>
      </c>
    </row>
    <row r="151" spans="2:17" ht="15" customHeight="1">
      <c r="B151" s="466">
        <f ca="1">IF(ISERROR(AVERAGE(B136,B141,B146)),"-",AVERAGE(B136,B141,B146))</f>
        <v>28200.333333333332</v>
      </c>
      <c r="C151" s="164">
        <f ca="1">IF(ISERROR(AVERAGE(C136,C141,C146)),"-",AVERAGE(C136,C141,C146))</f>
        <v>45426.380000000005</v>
      </c>
      <c r="D151" s="165">
        <f ca="1">IF(ISERROR(C151/B151),"-",(C151/B151))</f>
        <v>1.6108454982801623</v>
      </c>
      <c r="E151" s="166"/>
      <c r="F151" s="167">
        <f ca="1">IF(ISERROR(AVERAGE(F136,F141,F146)),"-",AVERAGE(F136,F141,F146))</f>
        <v>0</v>
      </c>
      <c r="G151" s="168">
        <f ca="1">IF(ISERROR(AVERAGE(G136,G141,G146)),"-",AVERAGE(G136,G141,G146))</f>
        <v>0</v>
      </c>
      <c r="H151" s="167">
        <f ca="1">IF(ISERROR(AVERAGE(H136,H141,H146)),"-",AVERAGE(H136,H141,H146))</f>
        <v>0</v>
      </c>
      <c r="I151" s="168">
        <f ca="1">IF(ISERROR(AVERAGE(I136,I141,I146)),"-",AVERAGE(I136,I141,I146))</f>
        <v>0</v>
      </c>
      <c r="J151" s="169" t="str">
        <f ca="1">IF(ISERROR(H151/F151),"-",(H151/F151))</f>
        <v>-</v>
      </c>
      <c r="K151" s="170" t="str">
        <f ca="1">IF(ISERROR(I151/G151),"-",(I151/G151))</f>
        <v>-</v>
      </c>
      <c r="L151" s="171"/>
      <c r="M151" s="172">
        <f ca="1">IF(ISERROR(AVERAGE(M136,M141,M146)),"-",AVERAGE(M136,M141,M146))</f>
        <v>0.33333333333333331</v>
      </c>
      <c r="N151" s="172">
        <f ca="1">IF(ISERROR(AVERAGE(N136,N141,N146)),"-",AVERAGE(N136,N141,N146))</f>
        <v>0</v>
      </c>
      <c r="O151" s="172">
        <f ca="1">IF(ISERROR(AVERAGE(O136,O141,O146)),"-",AVERAGE(O136,O141,O146))</f>
        <v>0</v>
      </c>
      <c r="P151" s="467">
        <f ca="1">IF(ISERROR(N151/M151),"-",(N151/M151))</f>
        <v>0</v>
      </c>
    </row>
    <row r="152" spans="2:17" ht="15" customHeight="1">
      <c r="B152" s="200"/>
      <c r="C152" s="22"/>
      <c r="D152" s="22"/>
      <c r="E152" s="42"/>
      <c r="F152" s="22"/>
      <c r="G152" s="22"/>
      <c r="H152" s="22"/>
      <c r="I152" s="22"/>
      <c r="J152" s="22"/>
      <c r="K152" s="22"/>
      <c r="L152" s="42"/>
      <c r="M152" s="22"/>
      <c r="N152" s="22"/>
      <c r="O152" s="22"/>
      <c r="P152" s="460"/>
    </row>
    <row r="153" spans="2:17" ht="15" customHeight="1" thickBot="1">
      <c r="B153" s="545" t="str">
        <f>$B$28</f>
        <v>*Lifetime Savings</v>
      </c>
      <c r="C153" s="209"/>
      <c r="D153" s="209"/>
      <c r="E153" s="470"/>
      <c r="F153" s="209"/>
      <c r="G153" s="209"/>
      <c r="H153" s="209"/>
      <c r="I153" s="209"/>
      <c r="J153" s="209"/>
      <c r="K153" s="209"/>
      <c r="L153" s="470"/>
      <c r="M153" s="209"/>
      <c r="N153" s="209"/>
      <c r="O153" s="209"/>
      <c r="P153" s="471"/>
    </row>
    <row r="154" spans="2:17" ht="15" customHeight="1">
      <c r="B154" s="9"/>
      <c r="C154" s="9"/>
      <c r="D154" s="9"/>
      <c r="E154" s="9"/>
      <c r="F154" s="9"/>
      <c r="G154" s="9"/>
      <c r="H154" s="9"/>
      <c r="I154" s="9"/>
      <c r="J154" s="9"/>
      <c r="K154" s="9"/>
      <c r="L154" s="9"/>
      <c r="M154" s="9"/>
      <c r="N154" s="9"/>
      <c r="O154" s="9"/>
      <c r="P154" s="9"/>
    </row>
    <row r="155" spans="2:17" ht="15" customHeight="1" thickBot="1">
      <c r="B155" s="77"/>
      <c r="C155" s="37"/>
      <c r="D155" s="37"/>
      <c r="E155" s="37"/>
      <c r="F155" s="37"/>
      <c r="G155" s="37"/>
      <c r="H155" s="37"/>
      <c r="I155" s="37"/>
      <c r="J155" s="37"/>
      <c r="K155" s="37"/>
      <c r="L155" s="37"/>
      <c r="M155" s="37"/>
      <c r="N155" s="77"/>
      <c r="O155" s="77"/>
      <c r="P155" s="104"/>
    </row>
    <row r="156" spans="2:17" ht="15" customHeight="1">
      <c r="B156" s="917" t="str">
        <f ca="1">'A2'!A15</f>
        <v>CFL's (Quick Start ONLY)</v>
      </c>
      <c r="C156" s="918"/>
      <c r="D156" s="918"/>
      <c r="E156" s="918"/>
      <c r="F156" s="918"/>
      <c r="G156" s="918"/>
      <c r="H156" s="918"/>
      <c r="I156" s="918"/>
      <c r="J156" s="918"/>
      <c r="K156" s="918"/>
      <c r="L156" s="918"/>
      <c r="M156" s="918"/>
      <c r="N156" s="918"/>
      <c r="O156" s="918"/>
      <c r="P156" s="919"/>
      <c r="Q156" s="76">
        <v>7</v>
      </c>
    </row>
    <row r="157" spans="2:17" ht="15" customHeight="1">
      <c r="B157" s="183"/>
      <c r="C157" s="94"/>
      <c r="D157" s="94"/>
      <c r="E157" s="95"/>
      <c r="F157" s="94"/>
      <c r="G157" s="94"/>
      <c r="H157" s="94"/>
      <c r="I157" s="94"/>
      <c r="J157" s="94"/>
      <c r="K157" s="94"/>
      <c r="L157" s="95"/>
      <c r="M157" s="94"/>
      <c r="N157" s="23"/>
      <c r="O157" s="23"/>
      <c r="P157" s="184"/>
    </row>
    <row r="158" spans="2:17" ht="15" customHeight="1">
      <c r="B158" s="913">
        <f>$B$8</f>
        <v>2008</v>
      </c>
      <c r="C158" s="914"/>
      <c r="D158" s="96"/>
      <c r="E158" s="77"/>
      <c r="F158" s="907" t="s">
        <v>77</v>
      </c>
      <c r="G158" s="909"/>
      <c r="H158" s="907" t="s">
        <v>75</v>
      </c>
      <c r="I158" s="909"/>
      <c r="J158" s="907" t="s">
        <v>78</v>
      </c>
      <c r="K158" s="909"/>
      <c r="L158" s="77"/>
      <c r="M158" s="907">
        <f>B158</f>
        <v>2008</v>
      </c>
      <c r="N158" s="908"/>
      <c r="O158" s="909"/>
      <c r="P158" s="185"/>
    </row>
    <row r="159" spans="2:17" ht="15" customHeight="1">
      <c r="B159" s="186" t="s">
        <v>76</v>
      </c>
      <c r="C159" s="97" t="s">
        <v>24</v>
      </c>
      <c r="D159" s="98" t="s">
        <v>25</v>
      </c>
      <c r="E159" s="97"/>
      <c r="F159" s="447" t="s">
        <v>223</v>
      </c>
      <c r="G159" s="448" t="s">
        <v>221</v>
      </c>
      <c r="H159" s="447" t="s">
        <v>223</v>
      </c>
      <c r="I159" s="448" t="s">
        <v>221</v>
      </c>
      <c r="J159" s="447" t="s">
        <v>223</v>
      </c>
      <c r="K159" s="448" t="s">
        <v>221</v>
      </c>
      <c r="L159" s="77"/>
      <c r="M159" s="920" t="s">
        <v>96</v>
      </c>
      <c r="N159" s="921"/>
      <c r="O159" s="922"/>
      <c r="P159" s="187" t="s">
        <v>25</v>
      </c>
    </row>
    <row r="160" spans="2:17" ht="15" customHeight="1">
      <c r="B160" s="188" t="s">
        <v>12</v>
      </c>
      <c r="C160" s="160" t="s">
        <v>79</v>
      </c>
      <c r="D160" s="161" t="s">
        <v>12</v>
      </c>
      <c r="E160" s="97"/>
      <c r="F160" s="100" t="str">
        <f>$F$10</f>
        <v>kW*Yrs</v>
      </c>
      <c r="G160" s="99" t="str">
        <f>$G$10</f>
        <v>kWh</v>
      </c>
      <c r="H160" s="100" t="str">
        <f>$H$10</f>
        <v>kW*Yrs</v>
      </c>
      <c r="I160" s="99" t="str">
        <f>$I$10</f>
        <v>kWh</v>
      </c>
      <c r="J160" s="101" t="str">
        <f>$J$10</f>
        <v>kW*Yrs</v>
      </c>
      <c r="K160" s="102" t="str">
        <f>$K$10</f>
        <v>kWh</v>
      </c>
      <c r="L160" s="103"/>
      <c r="M160" s="162" t="s">
        <v>53</v>
      </c>
      <c r="N160" s="163" t="s">
        <v>24</v>
      </c>
      <c r="O160" s="163" t="s">
        <v>83</v>
      </c>
      <c r="P160" s="189" t="s">
        <v>29</v>
      </c>
    </row>
    <row r="161" spans="2:16" ht="15" customHeight="1">
      <c r="B161" s="190">
        <f ca="1">INDIRECT("A2!"&amp;"D"&amp;VLOOKUP("Budget",'A2'!$M$3:$N$6,2,FALSE)+Q156)</f>
        <v>28893</v>
      </c>
      <c r="C161" s="164">
        <f ca="1">INDIRECT("A2!"&amp;"E"&amp;VLOOKUP("Budget",'A2'!$M$3:$N$6,2,FALSE)+Q156)</f>
        <v>5426</v>
      </c>
      <c r="D161" s="165">
        <f ca="1">IF(ISERROR(C161/B161),"-",(C161/B161))</f>
        <v>0.18779635205759179</v>
      </c>
      <c r="E161" s="166"/>
      <c r="F161" s="167">
        <f ca="1">INDIRECT("A2!"&amp;"D"&amp;VLOOKUP("Demand",'A2'!$M$3:$N$6,2,FALSE)+Q156)</f>
        <v>427.23</v>
      </c>
      <c r="G161" s="168">
        <f ca="1">INDIRECT("A2!"&amp;"D"&amp;VLOOKUP("Energy",'A2'!$M$3:$N$6,2,FALSE)+Q156)</f>
        <v>2414867</v>
      </c>
      <c r="H161" s="167">
        <f ca="1">INDIRECT("A2!"&amp;"E"&amp;VLOOKUP("Demand",'A2'!$M$3:$N$6,2,FALSE)+Q156)</f>
        <v>0</v>
      </c>
      <c r="I161" s="168">
        <f ca="1">INDIRECT("A2!"&amp;"E"&amp;VLOOKUP("Energy",'A2'!$M$3:$N$6,2,FALSE)+Q156)</f>
        <v>0</v>
      </c>
      <c r="J161" s="169">
        <f ca="1">IF(ISERROR(H161/F161),"-",(H161/F161))</f>
        <v>0</v>
      </c>
      <c r="K161" s="170">
        <f ca="1">IF(ISERROR(I161/G161),"-",(I161/G161))</f>
        <v>0</v>
      </c>
      <c r="L161" s="171"/>
      <c r="M161" s="172">
        <f ca="1">INDIRECT("A2!"&amp;"C"&amp;VLOOKUP("Participant",'A2'!$M$3:$N$6,2,FALSE)+Q156)</f>
        <v>0</v>
      </c>
      <c r="N161" s="172">
        <f ca="1">INDIRECT("A2!"&amp;"D"&amp;VLOOKUP("Participant",'A2'!$M$3:$N$6,2,FALSE)+Q156)</f>
        <v>0</v>
      </c>
      <c r="O161" s="172">
        <f ca="1">INDIRECT("A2!"&amp;"E"&amp;VLOOKUP("Participant",'A2'!$M$3:$N$6,2,FALSE)+Q156)</f>
        <v>0</v>
      </c>
      <c r="P161" s="191" t="str">
        <f ca="1">IF(ISERROR(N161/M161),"-",(N161/M161))</f>
        <v>-</v>
      </c>
    </row>
    <row r="162" spans="2:16" ht="15" customHeight="1">
      <c r="B162" s="183"/>
      <c r="C162" s="94"/>
      <c r="D162" s="94"/>
      <c r="E162" s="37"/>
      <c r="F162" s="94"/>
      <c r="G162" s="94"/>
      <c r="H162" s="94"/>
      <c r="I162" s="94"/>
      <c r="J162" s="94"/>
      <c r="K162" s="94"/>
      <c r="L162" s="37"/>
      <c r="M162" s="94"/>
      <c r="N162" s="23"/>
      <c r="O162" s="23"/>
      <c r="P162" s="184"/>
    </row>
    <row r="163" spans="2:16" ht="15" customHeight="1">
      <c r="B163" s="913">
        <f>$B$13</f>
        <v>2009</v>
      </c>
      <c r="C163" s="914"/>
      <c r="D163" s="96"/>
      <c r="E163" s="77"/>
      <c r="F163" s="907" t="s">
        <v>77</v>
      </c>
      <c r="G163" s="909"/>
      <c r="H163" s="907" t="s">
        <v>75</v>
      </c>
      <c r="I163" s="909"/>
      <c r="J163" s="907" t="s">
        <v>78</v>
      </c>
      <c r="K163" s="909"/>
      <c r="L163" s="77"/>
      <c r="M163" s="907">
        <f>B163</f>
        <v>2009</v>
      </c>
      <c r="N163" s="908"/>
      <c r="O163" s="909"/>
      <c r="P163" s="185"/>
    </row>
    <row r="164" spans="2:16" ht="15" customHeight="1">
      <c r="B164" s="186" t="s">
        <v>76</v>
      </c>
      <c r="C164" s="97" t="s">
        <v>24</v>
      </c>
      <c r="D164" s="98" t="s">
        <v>25</v>
      </c>
      <c r="E164" s="97"/>
      <c r="F164" s="447" t="s">
        <v>223</v>
      </c>
      <c r="G164" s="448" t="s">
        <v>221</v>
      </c>
      <c r="H164" s="447" t="s">
        <v>223</v>
      </c>
      <c r="I164" s="448" t="s">
        <v>221</v>
      </c>
      <c r="J164" s="447" t="s">
        <v>223</v>
      </c>
      <c r="K164" s="448" t="s">
        <v>221</v>
      </c>
      <c r="L164" s="77"/>
      <c r="M164" s="920" t="s">
        <v>96</v>
      </c>
      <c r="N164" s="921"/>
      <c r="O164" s="922"/>
      <c r="P164" s="187" t="s">
        <v>25</v>
      </c>
    </row>
    <row r="165" spans="2:16" ht="15" customHeight="1">
      <c r="B165" s="188" t="s">
        <v>12</v>
      </c>
      <c r="C165" s="160" t="s">
        <v>79</v>
      </c>
      <c r="D165" s="161" t="s">
        <v>12</v>
      </c>
      <c r="E165" s="97"/>
      <c r="F165" s="100" t="str">
        <f>$F$10</f>
        <v>kW*Yrs</v>
      </c>
      <c r="G165" s="99" t="str">
        <f>$G$10</f>
        <v>kWh</v>
      </c>
      <c r="H165" s="100" t="str">
        <f>$H$10</f>
        <v>kW*Yrs</v>
      </c>
      <c r="I165" s="99" t="str">
        <f>$I$10</f>
        <v>kWh</v>
      </c>
      <c r="J165" s="101" t="str">
        <f>$J$10</f>
        <v>kW*Yrs</v>
      </c>
      <c r="K165" s="102" t="str">
        <f>$K$10</f>
        <v>kWh</v>
      </c>
      <c r="L165" s="103"/>
      <c r="M165" s="162" t="s">
        <v>53</v>
      </c>
      <c r="N165" s="163" t="s">
        <v>24</v>
      </c>
      <c r="O165" s="163" t="s">
        <v>83</v>
      </c>
      <c r="P165" s="189" t="s">
        <v>29</v>
      </c>
    </row>
    <row r="166" spans="2:16" ht="15" customHeight="1">
      <c r="B166" s="190">
        <f ca="1">INDIRECT("A2!"&amp;"F"&amp;VLOOKUP("Budget",'A2'!$M$3:$N$6,2,FALSE)+Q156)</f>
        <v>28893</v>
      </c>
      <c r="C166" s="164">
        <f ca="1">INDIRECT("A2!"&amp;"G"&amp;VLOOKUP("Budget",'A2'!$M$3:$N$6,2,FALSE)+Q156)</f>
        <v>339</v>
      </c>
      <c r="D166" s="165">
        <f ca="1">IF(ISERROR(C166/B166),"-",(C166/B166))</f>
        <v>1.1732945696189389E-2</v>
      </c>
      <c r="E166" s="166"/>
      <c r="F166" s="167">
        <f ca="1">INDIRECT("A2!"&amp;"F"&amp;VLOOKUP("Demand",'A2'!$M$3:$N$6,2,FALSE)+Q156)</f>
        <v>854.46</v>
      </c>
      <c r="G166" s="168">
        <f ca="1">INDIRECT("A2!"&amp;"F"&amp;VLOOKUP("Energy",'A2'!$M$3:$N$6,2,FALSE)+Q156)</f>
        <v>4829734</v>
      </c>
      <c r="H166" s="167">
        <f ca="1">INDIRECT("A2!"&amp;"G"&amp;VLOOKUP("Demand",'A2'!$M$3:$N$6,2,FALSE)+Q156)</f>
        <v>0</v>
      </c>
      <c r="I166" s="168">
        <f ca="1">INDIRECT("A2!"&amp;"G"&amp;VLOOKUP("Energy",'A2'!$M$3:$N$6,2,FALSE)+Q156)</f>
        <v>0</v>
      </c>
      <c r="J166" s="169">
        <f ca="1">IF(ISERROR(H166/F166),"-",(H166/F166))</f>
        <v>0</v>
      </c>
      <c r="K166" s="170">
        <f ca="1">IF(ISERROR(I166/G166),"-",(I166/G166))</f>
        <v>0</v>
      </c>
      <c r="L166" s="171"/>
      <c r="M166" s="172">
        <f ca="1">INDIRECT("A2!"&amp;"F"&amp;VLOOKUP("Participant",'A2'!$M$3:$N$6,2,FALSE)+Q156)</f>
        <v>0</v>
      </c>
      <c r="N166" s="172">
        <f ca="1">INDIRECT("A2!"&amp;"G"&amp;VLOOKUP("Participant",'A2'!$M$3:$N$6,2,FALSE)+Q156)</f>
        <v>0</v>
      </c>
      <c r="O166" s="172">
        <f ca="1">INDIRECT("A2!"&amp;"H"&amp;VLOOKUP("Participant",'A2'!$M$3:$N$6,2,FALSE)+Q156)</f>
        <v>0</v>
      </c>
      <c r="P166" s="191" t="str">
        <f ca="1">IF(ISERROR(N166/M166),"-",(N166/M166))</f>
        <v>-</v>
      </c>
    </row>
    <row r="167" spans="2:16" ht="15" customHeight="1">
      <c r="B167" s="192"/>
      <c r="C167" s="37"/>
      <c r="D167" s="37"/>
      <c r="E167" s="37"/>
      <c r="F167" s="37"/>
      <c r="G167" s="37"/>
      <c r="H167" s="37"/>
      <c r="I167" s="37"/>
      <c r="J167" s="37"/>
      <c r="K167" s="37"/>
      <c r="L167" s="37"/>
      <c r="M167" s="37"/>
      <c r="N167" s="77"/>
      <c r="O167" s="77"/>
      <c r="P167" s="193"/>
    </row>
    <row r="168" spans="2:16" ht="15" customHeight="1">
      <c r="B168" s="913">
        <f>$B$18</f>
        <v>2010</v>
      </c>
      <c r="C168" s="914"/>
      <c r="D168" s="96"/>
      <c r="E168" s="77"/>
      <c r="F168" s="907" t="s">
        <v>77</v>
      </c>
      <c r="G168" s="909"/>
      <c r="H168" s="907" t="s">
        <v>75</v>
      </c>
      <c r="I168" s="909"/>
      <c r="J168" s="907" t="s">
        <v>78</v>
      </c>
      <c r="K168" s="909"/>
      <c r="L168" s="77"/>
      <c r="M168" s="907">
        <f>B168</f>
        <v>2010</v>
      </c>
      <c r="N168" s="908"/>
      <c r="O168" s="909"/>
      <c r="P168" s="185"/>
    </row>
    <row r="169" spans="2:16" ht="15" customHeight="1">
      <c r="B169" s="186" t="s">
        <v>76</v>
      </c>
      <c r="C169" s="97" t="s">
        <v>24</v>
      </c>
      <c r="D169" s="98" t="s">
        <v>25</v>
      </c>
      <c r="E169" s="97"/>
      <c r="F169" s="447" t="s">
        <v>223</v>
      </c>
      <c r="G169" s="448" t="s">
        <v>221</v>
      </c>
      <c r="H169" s="447" t="s">
        <v>223</v>
      </c>
      <c r="I169" s="448" t="s">
        <v>221</v>
      </c>
      <c r="J169" s="447" t="s">
        <v>223</v>
      </c>
      <c r="K169" s="448" t="s">
        <v>221</v>
      </c>
      <c r="L169" s="77"/>
      <c r="M169" s="920" t="s">
        <v>96</v>
      </c>
      <c r="N169" s="921"/>
      <c r="O169" s="922"/>
      <c r="P169" s="187" t="s">
        <v>25</v>
      </c>
    </row>
    <row r="170" spans="2:16" ht="15" customHeight="1">
      <c r="B170" s="188" t="s">
        <v>12</v>
      </c>
      <c r="C170" s="160" t="s">
        <v>79</v>
      </c>
      <c r="D170" s="161" t="s">
        <v>12</v>
      </c>
      <c r="E170" s="97"/>
      <c r="F170" s="100" t="str">
        <f>$F$10</f>
        <v>kW*Yrs</v>
      </c>
      <c r="G170" s="99" t="str">
        <f>$G$10</f>
        <v>kWh</v>
      </c>
      <c r="H170" s="100" t="str">
        <f>$H$10</f>
        <v>kW*Yrs</v>
      </c>
      <c r="I170" s="99" t="str">
        <f>$I$10</f>
        <v>kWh</v>
      </c>
      <c r="J170" s="101" t="str">
        <f>$J$10</f>
        <v>kW*Yrs</v>
      </c>
      <c r="K170" s="102" t="str">
        <f>$K$10</f>
        <v>kWh</v>
      </c>
      <c r="L170" s="103"/>
      <c r="M170" s="162" t="s">
        <v>53</v>
      </c>
      <c r="N170" s="163" t="s">
        <v>24</v>
      </c>
      <c r="O170" s="163" t="s">
        <v>83</v>
      </c>
      <c r="P170" s="189" t="s">
        <v>29</v>
      </c>
    </row>
    <row r="171" spans="2:16" ht="15" customHeight="1">
      <c r="B171" s="190">
        <f ca="1">INDIRECT("A2!"&amp;"H"&amp;VLOOKUP("Budget",'A2'!$M$3:$N$6,2,FALSE)+Q156)</f>
        <v>0</v>
      </c>
      <c r="C171" s="164">
        <f ca="1">INDIRECT("A2!"&amp;"I"&amp;VLOOKUP("Budget",'A2'!$M$3:$N$6,2,FALSE)+Q156)</f>
        <v>0</v>
      </c>
      <c r="D171" s="165" t="str">
        <f ca="1">IF(ISERROR(C171/B171),"-",(C171/B171))</f>
        <v>-</v>
      </c>
      <c r="E171" s="166"/>
      <c r="F171" s="167">
        <f ca="1">INDIRECT("A2!"&amp;"H"&amp;VLOOKUP("Demand",'A2'!$M$3:$N$6,2,FALSE)+Q156)</f>
        <v>0</v>
      </c>
      <c r="G171" s="168">
        <f ca="1">INDIRECT("A2!"&amp;"H"&amp;VLOOKUP("Energy",'A2'!$M$3:$N$6,2,FALSE)+Q156)</f>
        <v>0</v>
      </c>
      <c r="H171" s="167">
        <f ca="1">INDIRECT("A2!"&amp;"I"&amp;VLOOKUP("Demand",'A2'!$M$3:$N$6,2,FALSE)+Q156)</f>
        <v>0</v>
      </c>
      <c r="I171" s="168">
        <f ca="1">INDIRECT("A2!"&amp;"I"&amp;VLOOKUP("Energy",'A2'!$M$3:$N$6,2,FALSE)+Q156)</f>
        <v>0</v>
      </c>
      <c r="J171" s="169" t="str">
        <f ca="1">IF(ISERROR(H171/F171),"-",(H171/F171))</f>
        <v>-</v>
      </c>
      <c r="K171" s="170" t="str">
        <f ca="1">IF(ISERROR(I171/G171),"-",(I171/G171))</f>
        <v>-</v>
      </c>
      <c r="L171" s="171"/>
      <c r="M171" s="172">
        <f ca="1">INDIRECT("A2!"&amp;"I"&amp;VLOOKUP("Participant",'A2'!$M$3:$N$6,2,FALSE)+Q156)</f>
        <v>0</v>
      </c>
      <c r="N171" s="172">
        <f ca="1">INDIRECT("A2!"&amp;"J"&amp;VLOOKUP("Participant",'A2'!$M$3:$N$6,2,FALSE)+Q156)</f>
        <v>0</v>
      </c>
      <c r="O171" s="172">
        <f ca="1">INDIRECT("A2!"&amp;"K"&amp;VLOOKUP("Participant",'A2'!$M$3:$N$6,2,FALSE)+Q156)</f>
        <v>0</v>
      </c>
      <c r="P171" s="191" t="str">
        <f ca="1">IF(ISERROR(N171/M171),"-",(N171/M171))</f>
        <v>-</v>
      </c>
    </row>
    <row r="172" spans="2:16" ht="15" customHeight="1">
      <c r="B172" s="194"/>
      <c r="C172" s="22"/>
      <c r="D172" s="22"/>
      <c r="E172" s="42"/>
      <c r="F172" s="22"/>
      <c r="G172" s="22"/>
      <c r="H172" s="22"/>
      <c r="I172" s="22"/>
      <c r="J172" s="22"/>
      <c r="K172" s="22"/>
      <c r="L172" s="42"/>
      <c r="M172" s="22"/>
      <c r="N172" s="22"/>
      <c r="O172" s="22"/>
      <c r="P172" s="184"/>
    </row>
    <row r="173" spans="2:16" ht="15" customHeight="1">
      <c r="B173" s="915" t="s">
        <v>80</v>
      </c>
      <c r="C173" s="916"/>
      <c r="D173" s="96"/>
      <c r="E173" s="77"/>
      <c r="F173" s="907" t="s">
        <v>77</v>
      </c>
      <c r="G173" s="909"/>
      <c r="H173" s="907" t="s">
        <v>75</v>
      </c>
      <c r="I173" s="909"/>
      <c r="J173" s="907" t="s">
        <v>78</v>
      </c>
      <c r="K173" s="909"/>
      <c r="L173" s="77"/>
      <c r="M173" s="907" t="str">
        <f>B158&amp;" - "&amp;B168</f>
        <v>2008 - 2010</v>
      </c>
      <c r="N173" s="908"/>
      <c r="O173" s="909"/>
      <c r="P173" s="185"/>
    </row>
    <row r="174" spans="2:16" ht="15" customHeight="1">
      <c r="B174" s="186" t="s">
        <v>76</v>
      </c>
      <c r="C174" s="97" t="s">
        <v>24</v>
      </c>
      <c r="D174" s="98" t="s">
        <v>25</v>
      </c>
      <c r="E174" s="97"/>
      <c r="F174" s="447" t="s">
        <v>223</v>
      </c>
      <c r="G174" s="448" t="s">
        <v>221</v>
      </c>
      <c r="H174" s="447" t="s">
        <v>223</v>
      </c>
      <c r="I174" s="448" t="s">
        <v>221</v>
      </c>
      <c r="J174" s="447" t="s">
        <v>223</v>
      </c>
      <c r="K174" s="448" t="s">
        <v>221</v>
      </c>
      <c r="L174" s="77"/>
      <c r="M174" s="920" t="s">
        <v>96</v>
      </c>
      <c r="N174" s="921"/>
      <c r="O174" s="922"/>
      <c r="P174" s="187" t="s">
        <v>25</v>
      </c>
    </row>
    <row r="175" spans="2:16" ht="15" customHeight="1">
      <c r="B175" s="188" t="s">
        <v>12</v>
      </c>
      <c r="C175" s="160" t="s">
        <v>79</v>
      </c>
      <c r="D175" s="161" t="s">
        <v>12</v>
      </c>
      <c r="E175" s="97"/>
      <c r="F175" s="100" t="str">
        <f>$F$10</f>
        <v>kW*Yrs</v>
      </c>
      <c r="G175" s="99" t="str">
        <f>$G$10</f>
        <v>kWh</v>
      </c>
      <c r="H175" s="100" t="str">
        <f>$H$10</f>
        <v>kW*Yrs</v>
      </c>
      <c r="I175" s="99" t="str">
        <f>$I$10</f>
        <v>kWh</v>
      </c>
      <c r="J175" s="101" t="str">
        <f>$J$10</f>
        <v>kW*Yrs</v>
      </c>
      <c r="K175" s="102" t="str">
        <f>$K$10</f>
        <v>kWh</v>
      </c>
      <c r="L175" s="103"/>
      <c r="M175" s="162" t="s">
        <v>53</v>
      </c>
      <c r="N175" s="163" t="s">
        <v>24</v>
      </c>
      <c r="O175" s="163" t="s">
        <v>83</v>
      </c>
      <c r="P175" s="189" t="s">
        <v>29</v>
      </c>
    </row>
    <row r="176" spans="2:16" ht="15" customHeight="1">
      <c r="B176" s="466">
        <f ca="1">IF(ISERROR(AVERAGE(B161,B166,B171)),"-",AVERAGE(B161,B166,B171))</f>
        <v>19262</v>
      </c>
      <c r="C176" s="164">
        <f ca="1">IF(ISERROR(AVERAGE(C161,C166,C171)),"-",AVERAGE(C161,C166,C171))</f>
        <v>1921.6666666666667</v>
      </c>
      <c r="D176" s="165">
        <f ca="1">IF(ISERROR(C176/B176),"-",(C176/B176))</f>
        <v>9.9764648876890599E-2</v>
      </c>
      <c r="E176" s="166"/>
      <c r="F176" s="167">
        <f ca="1">IF(ISERROR(AVERAGE(F161,F166,F171)),"-",AVERAGE(F161,F166,F171))</f>
        <v>427.23</v>
      </c>
      <c r="G176" s="168">
        <f ca="1">IF(ISERROR(AVERAGE(G161,G166,G171)),"-",AVERAGE(G161,G166,G171))</f>
        <v>2414867</v>
      </c>
      <c r="H176" s="167">
        <f ca="1">IF(ISERROR(AVERAGE(H161,H166,H171)),"-",AVERAGE(H161,H166,H171))</f>
        <v>0</v>
      </c>
      <c r="I176" s="168">
        <f ca="1">IF(ISERROR(AVERAGE(I161,I166,I171)),"-",AVERAGE(I161,I166,I171))</f>
        <v>0</v>
      </c>
      <c r="J176" s="169">
        <f ca="1">IF(ISERROR(H176/F176),"-",(H176/F176))</f>
        <v>0</v>
      </c>
      <c r="K176" s="170">
        <f ca="1">IF(ISERROR(I176/G176),"-",(I176/G176))</f>
        <v>0</v>
      </c>
      <c r="L176" s="171"/>
      <c r="M176" s="172">
        <f ca="1">IF(ISERROR(AVERAGE(M161,M166,M171)),"-",AVERAGE(M161,M166,M171))</f>
        <v>0</v>
      </c>
      <c r="N176" s="172">
        <f ca="1">IF(ISERROR(AVERAGE(N161,N166,N171)),"-",AVERAGE(N161,N166,N171))</f>
        <v>0</v>
      </c>
      <c r="O176" s="172">
        <f ca="1">IF(ISERROR(AVERAGE(O161,O166,O171)),"-",AVERAGE(O161,O166,O171))</f>
        <v>0</v>
      </c>
      <c r="P176" s="467" t="str">
        <f ca="1">IF(ISERROR(N176/M176),"-",(N176/M176))</f>
        <v>-</v>
      </c>
    </row>
    <row r="177" spans="2:17" ht="15" customHeight="1">
      <c r="B177" s="200"/>
      <c r="C177" s="22"/>
      <c r="D177" s="22"/>
      <c r="E177" s="42"/>
      <c r="F177" s="22"/>
      <c r="G177" s="22"/>
      <c r="H177" s="22"/>
      <c r="I177" s="22"/>
      <c r="J177" s="22"/>
      <c r="K177" s="22"/>
      <c r="L177" s="42"/>
      <c r="M177" s="22"/>
      <c r="N177" s="22"/>
      <c r="O177" s="22"/>
      <c r="P177" s="460"/>
    </row>
    <row r="178" spans="2:17" ht="15" customHeight="1" thickBot="1">
      <c r="B178" s="545" t="str">
        <f>$B$28</f>
        <v>*Lifetime Savings</v>
      </c>
      <c r="C178" s="209"/>
      <c r="D178" s="209"/>
      <c r="E178" s="470"/>
      <c r="F178" s="209"/>
      <c r="G178" s="209"/>
      <c r="H178" s="209"/>
      <c r="I178" s="209"/>
      <c r="J178" s="209"/>
      <c r="K178" s="209"/>
      <c r="L178" s="470"/>
      <c r="M178" s="209"/>
      <c r="N178" s="209"/>
      <c r="O178" s="209"/>
      <c r="P178" s="471"/>
    </row>
    <row r="180" spans="2:17" ht="15" customHeight="1" thickBot="1"/>
    <row r="181" spans="2:17" ht="15" customHeight="1">
      <c r="B181" s="917" t="str">
        <f ca="1">'A2'!A16</f>
        <v xml:space="preserve">AWP Weatherization </v>
      </c>
      <c r="C181" s="918"/>
      <c r="D181" s="918"/>
      <c r="E181" s="918"/>
      <c r="F181" s="918"/>
      <c r="G181" s="918"/>
      <c r="H181" s="918"/>
      <c r="I181" s="918"/>
      <c r="J181" s="918"/>
      <c r="K181" s="918"/>
      <c r="L181" s="918"/>
      <c r="M181" s="918"/>
      <c r="N181" s="918"/>
      <c r="O181" s="918"/>
      <c r="P181" s="919"/>
      <c r="Q181" s="76">
        <v>8</v>
      </c>
    </row>
    <row r="182" spans="2:17" ht="15" customHeight="1">
      <c r="B182" s="183"/>
      <c r="C182" s="94"/>
      <c r="D182" s="94"/>
      <c r="E182" s="95"/>
      <c r="F182" s="94"/>
      <c r="G182" s="94"/>
      <c r="H182" s="94"/>
      <c r="I182" s="94"/>
      <c r="J182" s="94"/>
      <c r="K182" s="94"/>
      <c r="L182" s="95"/>
      <c r="M182" s="94"/>
      <c r="N182" s="23"/>
      <c r="O182" s="23"/>
      <c r="P182" s="184"/>
    </row>
    <row r="183" spans="2:17" ht="15" customHeight="1">
      <c r="B183" s="913">
        <f>$B$8</f>
        <v>2008</v>
      </c>
      <c r="C183" s="914"/>
      <c r="D183" s="96"/>
      <c r="E183" s="77"/>
      <c r="F183" s="907" t="s">
        <v>77</v>
      </c>
      <c r="G183" s="909"/>
      <c r="H183" s="907" t="s">
        <v>75</v>
      </c>
      <c r="I183" s="909"/>
      <c r="J183" s="907" t="s">
        <v>78</v>
      </c>
      <c r="K183" s="909"/>
      <c r="L183" s="77"/>
      <c r="M183" s="907">
        <f>B183</f>
        <v>2008</v>
      </c>
      <c r="N183" s="908"/>
      <c r="O183" s="909"/>
      <c r="P183" s="185"/>
    </row>
    <row r="184" spans="2:17" ht="15" customHeight="1">
      <c r="B184" s="186" t="s">
        <v>76</v>
      </c>
      <c r="C184" s="97" t="s">
        <v>24</v>
      </c>
      <c r="D184" s="98" t="s">
        <v>25</v>
      </c>
      <c r="E184" s="97"/>
      <c r="F184" s="447" t="s">
        <v>223</v>
      </c>
      <c r="G184" s="448" t="s">
        <v>221</v>
      </c>
      <c r="H184" s="447" t="s">
        <v>223</v>
      </c>
      <c r="I184" s="448" t="s">
        <v>221</v>
      </c>
      <c r="J184" s="447" t="s">
        <v>223</v>
      </c>
      <c r="K184" s="448" t="s">
        <v>221</v>
      </c>
      <c r="L184" s="77"/>
      <c r="M184" s="920" t="s">
        <v>96</v>
      </c>
      <c r="N184" s="921"/>
      <c r="O184" s="922"/>
      <c r="P184" s="187" t="s">
        <v>25</v>
      </c>
    </row>
    <row r="185" spans="2:17" ht="15" customHeight="1">
      <c r="B185" s="188" t="s">
        <v>12</v>
      </c>
      <c r="C185" s="160" t="s">
        <v>79</v>
      </c>
      <c r="D185" s="161" t="s">
        <v>12</v>
      </c>
      <c r="E185" s="97"/>
      <c r="F185" s="100" t="str">
        <f>$F$10</f>
        <v>kW*Yrs</v>
      </c>
      <c r="G185" s="99" t="str">
        <f>$G$10</f>
        <v>kWh</v>
      </c>
      <c r="H185" s="100" t="str">
        <f>$H$10</f>
        <v>kW*Yrs</v>
      </c>
      <c r="I185" s="99" t="str">
        <f>$I$10</f>
        <v>kWh</v>
      </c>
      <c r="J185" s="101" t="str">
        <f>$J$10</f>
        <v>kW*Yrs</v>
      </c>
      <c r="K185" s="102" t="str">
        <f>$K$10</f>
        <v>kWh</v>
      </c>
      <c r="L185" s="103"/>
      <c r="M185" s="162" t="s">
        <v>53</v>
      </c>
      <c r="N185" s="163" t="s">
        <v>24</v>
      </c>
      <c r="O185" s="163" t="s">
        <v>83</v>
      </c>
      <c r="P185" s="189" t="s">
        <v>29</v>
      </c>
    </row>
    <row r="186" spans="2:17" ht="15" customHeight="1">
      <c r="B186" s="190">
        <f ca="1">INDIRECT("A2!"&amp;"D"&amp;VLOOKUP("Budget",'A2'!$M$3:$N$6,2,FALSE)+Q181)</f>
        <v>0</v>
      </c>
      <c r="C186" s="164">
        <f ca="1">INDIRECT("A2!"&amp;"E"&amp;VLOOKUP("Budget",'A2'!$M$3:$N$6,2,FALSE)+Q181)</f>
        <v>0</v>
      </c>
      <c r="D186" s="165" t="str">
        <f ca="1">IF(ISERROR(C186/B186),"-",(C186/B186))</f>
        <v>-</v>
      </c>
      <c r="E186" s="166"/>
      <c r="F186" s="167">
        <f ca="1">INDIRECT("A2!"&amp;"D"&amp;VLOOKUP("Demand",'A2'!$M$3:$N$6,2,FALSE)+Q181)</f>
        <v>0</v>
      </c>
      <c r="G186" s="168">
        <f ca="1">INDIRECT("A2!"&amp;"D"&amp;VLOOKUP("Energy",'A2'!$M$3:$N$6,2,FALSE)+Q181)</f>
        <v>0</v>
      </c>
      <c r="H186" s="167">
        <f ca="1">INDIRECT("A2!"&amp;"E"&amp;VLOOKUP("Demand",'A2'!$M$3:$N$6,2,FALSE)+Q181)</f>
        <v>0</v>
      </c>
      <c r="I186" s="168">
        <f ca="1">INDIRECT("A2!"&amp;"E"&amp;VLOOKUP("Energy",'A2'!$M$3:$N$6,2,FALSE)+Q181)</f>
        <v>0</v>
      </c>
      <c r="J186" s="169" t="str">
        <f ca="1">IF(ISERROR(H186/F186),"-",(H186/F186))</f>
        <v>-</v>
      </c>
      <c r="K186" s="170" t="str">
        <f ca="1">IF(ISERROR(I186/G186),"-",(I186/G186))</f>
        <v>-</v>
      </c>
      <c r="L186" s="171"/>
      <c r="M186" s="172">
        <f ca="1">INDIRECT("A2!"&amp;"C"&amp;VLOOKUP("Participant",'A2'!$M$3:$N$6,2,FALSE)+Q181)</f>
        <v>0</v>
      </c>
      <c r="N186" s="172">
        <f ca="1">INDIRECT("A2!"&amp;"D"&amp;VLOOKUP("Participant",'A2'!$M$3:$N$6,2,FALSE)+Q181)</f>
        <v>0</v>
      </c>
      <c r="O186" s="172">
        <f ca="1">INDIRECT("A2!"&amp;"E"&amp;VLOOKUP("Participant",'A2'!$M$3:$N$6,2,FALSE)+Q181)</f>
        <v>0</v>
      </c>
      <c r="P186" s="191" t="str">
        <f ca="1">IF(ISERROR(N186/M186),"-",(N186/M186))</f>
        <v>-</v>
      </c>
    </row>
    <row r="187" spans="2:17" ht="15" customHeight="1">
      <c r="B187" s="183"/>
      <c r="C187" s="94"/>
      <c r="D187" s="94"/>
      <c r="E187" s="37"/>
      <c r="F187" s="94"/>
      <c r="G187" s="94"/>
      <c r="H187" s="94"/>
      <c r="I187" s="94"/>
      <c r="J187" s="94"/>
      <c r="K187" s="94"/>
      <c r="L187" s="37"/>
      <c r="M187" s="94"/>
      <c r="N187" s="23"/>
      <c r="O187" s="23"/>
      <c r="P187" s="184"/>
    </row>
    <row r="188" spans="2:17" ht="15" customHeight="1">
      <c r="B188" s="913">
        <f>$B$13</f>
        <v>2009</v>
      </c>
      <c r="C188" s="914"/>
      <c r="D188" s="96"/>
      <c r="E188" s="77"/>
      <c r="F188" s="907" t="s">
        <v>77</v>
      </c>
      <c r="G188" s="909"/>
      <c r="H188" s="907" t="s">
        <v>75</v>
      </c>
      <c r="I188" s="909"/>
      <c r="J188" s="907" t="s">
        <v>78</v>
      </c>
      <c r="K188" s="909"/>
      <c r="L188" s="77"/>
      <c r="M188" s="907">
        <f>B188</f>
        <v>2009</v>
      </c>
      <c r="N188" s="908"/>
      <c r="O188" s="909"/>
      <c r="P188" s="185"/>
    </row>
    <row r="189" spans="2:17" ht="15" customHeight="1">
      <c r="B189" s="186" t="s">
        <v>76</v>
      </c>
      <c r="C189" s="97" t="s">
        <v>24</v>
      </c>
      <c r="D189" s="98" t="s">
        <v>25</v>
      </c>
      <c r="E189" s="97"/>
      <c r="F189" s="447" t="s">
        <v>223</v>
      </c>
      <c r="G189" s="448" t="s">
        <v>221</v>
      </c>
      <c r="H189" s="447" t="s">
        <v>223</v>
      </c>
      <c r="I189" s="448" t="s">
        <v>221</v>
      </c>
      <c r="J189" s="447" t="s">
        <v>223</v>
      </c>
      <c r="K189" s="448" t="s">
        <v>221</v>
      </c>
      <c r="L189" s="77"/>
      <c r="M189" s="920" t="s">
        <v>96</v>
      </c>
      <c r="N189" s="921"/>
      <c r="O189" s="922"/>
      <c r="P189" s="187" t="s">
        <v>25</v>
      </c>
    </row>
    <row r="190" spans="2:17" ht="15" customHeight="1">
      <c r="B190" s="188" t="s">
        <v>12</v>
      </c>
      <c r="C190" s="160" t="s">
        <v>79</v>
      </c>
      <c r="D190" s="161" t="s">
        <v>12</v>
      </c>
      <c r="E190" s="97"/>
      <c r="F190" s="100" t="str">
        <f>$F$10</f>
        <v>kW*Yrs</v>
      </c>
      <c r="G190" s="99" t="str">
        <f>$G$10</f>
        <v>kWh</v>
      </c>
      <c r="H190" s="100" t="str">
        <f>$H$10</f>
        <v>kW*Yrs</v>
      </c>
      <c r="I190" s="99" t="str">
        <f>$I$10</f>
        <v>kWh</v>
      </c>
      <c r="J190" s="101" t="str">
        <f>$J$10</f>
        <v>kW*Yrs</v>
      </c>
      <c r="K190" s="102" t="str">
        <f>$K$10</f>
        <v>kWh</v>
      </c>
      <c r="L190" s="103"/>
      <c r="M190" s="162" t="s">
        <v>53</v>
      </c>
      <c r="N190" s="163" t="s">
        <v>24</v>
      </c>
      <c r="O190" s="163" t="s">
        <v>83</v>
      </c>
      <c r="P190" s="189" t="s">
        <v>29</v>
      </c>
    </row>
    <row r="191" spans="2:17" ht="15" customHeight="1">
      <c r="B191" s="190">
        <f ca="1">INDIRECT("A2!"&amp;"F"&amp;VLOOKUP("Budget",'A2'!$M$3:$N$6,2,FALSE)+Q181)</f>
        <v>0</v>
      </c>
      <c r="C191" s="164">
        <f ca="1">INDIRECT("A2!"&amp;"G"&amp;VLOOKUP("Budget",'A2'!$M$3:$N$6,2,FALSE)+Q181)</f>
        <v>0</v>
      </c>
      <c r="D191" s="165" t="str">
        <f ca="1">IF(ISERROR(C191/B191),"-",(C191/B191))</f>
        <v>-</v>
      </c>
      <c r="E191" s="166"/>
      <c r="F191" s="167">
        <f ca="1">INDIRECT("A2!"&amp;"F"&amp;VLOOKUP("Demand",'A2'!$M$3:$N$6,2,FALSE)+Q181)</f>
        <v>0</v>
      </c>
      <c r="G191" s="168">
        <f ca="1">INDIRECT("A2!"&amp;"F"&amp;VLOOKUP("Energy",'A2'!$M$3:$N$6,2,FALSE)+Q181)</f>
        <v>0</v>
      </c>
      <c r="H191" s="167">
        <f ca="1">INDIRECT("A2!"&amp;"G"&amp;VLOOKUP("Demand",'A2'!$M$3:$N$6,2,FALSE)+Q181)</f>
        <v>0</v>
      </c>
      <c r="I191" s="168">
        <f ca="1">INDIRECT("A2!"&amp;"G"&amp;VLOOKUP("Energy",'A2'!$M$3:$N$6,2,FALSE)+Q181)</f>
        <v>0</v>
      </c>
      <c r="J191" s="169" t="str">
        <f ca="1">IF(ISERROR(H191/F191),"-",(H191/F191))</f>
        <v>-</v>
      </c>
      <c r="K191" s="170" t="str">
        <f ca="1">IF(ISERROR(I191/G191),"-",(I191/G191))</f>
        <v>-</v>
      </c>
      <c r="L191" s="171"/>
      <c r="M191" s="172">
        <f ca="1">INDIRECT("A2!"&amp;"F"&amp;VLOOKUP("Participant",'A2'!$M$3:$N$6,2,FALSE)+Q181)</f>
        <v>0</v>
      </c>
      <c r="N191" s="172">
        <f ca="1">INDIRECT("A2!"&amp;"G"&amp;VLOOKUP("Participant",'A2'!$M$3:$N$6,2,FALSE)+Q181)</f>
        <v>0</v>
      </c>
      <c r="O191" s="172">
        <f ca="1">INDIRECT("A2!"&amp;"H"&amp;VLOOKUP("Participant",'A2'!$M$3:$N$6,2,FALSE)+Q181)</f>
        <v>0</v>
      </c>
      <c r="P191" s="191" t="str">
        <f ca="1">IF(ISERROR(N191/M191),"-",(N191/M191))</f>
        <v>-</v>
      </c>
    </row>
    <row r="192" spans="2:17" ht="15" customHeight="1">
      <c r="B192" s="192"/>
      <c r="C192" s="37"/>
      <c r="D192" s="37"/>
      <c r="E192" s="37"/>
      <c r="F192" s="37"/>
      <c r="G192" s="37"/>
      <c r="H192" s="37"/>
      <c r="I192" s="37"/>
      <c r="J192" s="37"/>
      <c r="K192" s="37"/>
      <c r="L192" s="37"/>
      <c r="M192" s="37"/>
      <c r="N192" s="77"/>
      <c r="O192" s="77"/>
      <c r="P192" s="193"/>
    </row>
    <row r="193" spans="2:17" ht="15" customHeight="1">
      <c r="B193" s="913">
        <f>$B$18</f>
        <v>2010</v>
      </c>
      <c r="C193" s="914"/>
      <c r="D193" s="96"/>
      <c r="E193" s="77"/>
      <c r="F193" s="907" t="s">
        <v>77</v>
      </c>
      <c r="G193" s="909"/>
      <c r="H193" s="907" t="s">
        <v>75</v>
      </c>
      <c r="I193" s="909"/>
      <c r="J193" s="907" t="s">
        <v>78</v>
      </c>
      <c r="K193" s="909"/>
      <c r="L193" s="77"/>
      <c r="M193" s="907">
        <f>B193</f>
        <v>2010</v>
      </c>
      <c r="N193" s="908"/>
      <c r="O193" s="909"/>
      <c r="P193" s="185"/>
    </row>
    <row r="194" spans="2:17" ht="15" customHeight="1">
      <c r="B194" s="186" t="s">
        <v>76</v>
      </c>
      <c r="C194" s="97" t="s">
        <v>24</v>
      </c>
      <c r="D194" s="98" t="s">
        <v>25</v>
      </c>
      <c r="E194" s="97"/>
      <c r="F194" s="447" t="s">
        <v>223</v>
      </c>
      <c r="G194" s="448" t="s">
        <v>221</v>
      </c>
      <c r="H194" s="447" t="s">
        <v>223</v>
      </c>
      <c r="I194" s="448" t="s">
        <v>221</v>
      </c>
      <c r="J194" s="447" t="s">
        <v>223</v>
      </c>
      <c r="K194" s="448" t="s">
        <v>221</v>
      </c>
      <c r="L194" s="77"/>
      <c r="M194" s="920" t="s">
        <v>96</v>
      </c>
      <c r="N194" s="921"/>
      <c r="O194" s="922"/>
      <c r="P194" s="187" t="s">
        <v>25</v>
      </c>
    </row>
    <row r="195" spans="2:17" ht="15" customHeight="1">
      <c r="B195" s="188" t="s">
        <v>12</v>
      </c>
      <c r="C195" s="160" t="s">
        <v>79</v>
      </c>
      <c r="D195" s="161" t="s">
        <v>12</v>
      </c>
      <c r="E195" s="97"/>
      <c r="F195" s="100" t="str">
        <f>$F$10</f>
        <v>kW*Yrs</v>
      </c>
      <c r="G195" s="99" t="str">
        <f>$G$10</f>
        <v>kWh</v>
      </c>
      <c r="H195" s="100" t="str">
        <f>$H$10</f>
        <v>kW*Yrs</v>
      </c>
      <c r="I195" s="99" t="str">
        <f>$I$10</f>
        <v>kWh</v>
      </c>
      <c r="J195" s="101" t="str">
        <f>$J$10</f>
        <v>kW*Yrs</v>
      </c>
      <c r="K195" s="102" t="str">
        <f>$K$10</f>
        <v>kWh</v>
      </c>
      <c r="L195" s="103"/>
      <c r="M195" s="162" t="s">
        <v>53</v>
      </c>
      <c r="N195" s="163" t="s">
        <v>24</v>
      </c>
      <c r="O195" s="163" t="s">
        <v>83</v>
      </c>
      <c r="P195" s="189" t="s">
        <v>29</v>
      </c>
    </row>
    <row r="196" spans="2:17" ht="15" customHeight="1">
      <c r="B196" s="190">
        <f ca="1">INDIRECT("A2!"&amp;"H"&amp;VLOOKUP("Budget",'A2'!$M$3:$N$6,2,FALSE)+Q181)</f>
        <v>72000</v>
      </c>
      <c r="C196" s="164">
        <f ca="1">INDIRECT("A2!"&amp;"I"&amp;VLOOKUP("Budget",'A2'!$M$3:$N$6,2,FALSE)+Q181)</f>
        <v>44927.62</v>
      </c>
      <c r="D196" s="165">
        <f ca="1">IF(ISERROR(C196/B196),"-",(C196/B196))</f>
        <v>0.6239947222222223</v>
      </c>
      <c r="E196" s="166"/>
      <c r="F196" s="167">
        <f ca="1">INDIRECT("A2!"&amp;"H"&amp;VLOOKUP("Demand",'A2'!$M$3:$N$6,2,FALSE)+Q181)</f>
        <v>0</v>
      </c>
      <c r="G196" s="168">
        <f ca="1">INDIRECT("A2!"&amp;"H"&amp;VLOOKUP("Energy",'A2'!$M$3:$N$6,2,FALSE)+Q181)</f>
        <v>0</v>
      </c>
      <c r="H196" s="167">
        <f ca="1">INDIRECT("A2!"&amp;"I"&amp;VLOOKUP("Demand",'A2'!$M$3:$N$6,2,FALSE)+Q181)</f>
        <v>78.137220000000013</v>
      </c>
      <c r="I196" s="168">
        <f ca="1">INDIRECT("A2!"&amp;"I"&amp;VLOOKUP("Energy",'A2'!$M$3:$N$6,2,FALSE)+Q181)</f>
        <v>3976931.3220000006</v>
      </c>
      <c r="J196" s="169" t="str">
        <f ca="1">IF(ISERROR(H196/F196),"-",(H196/F196))</f>
        <v>-</v>
      </c>
      <c r="K196" s="170" t="str">
        <f ca="1">IF(ISERROR(I196/G196),"-",(I196/G196))</f>
        <v>-</v>
      </c>
      <c r="L196" s="171"/>
      <c r="M196" s="172">
        <f ca="1">INDIRECT("A2!"&amp;"I"&amp;VLOOKUP("Participant",'A2'!$M$3:$N$6,2,FALSE)+Q181)</f>
        <v>59</v>
      </c>
      <c r="N196" s="172">
        <f ca="1">INDIRECT("A2!"&amp;"J"&amp;VLOOKUP("Participant",'A2'!$M$3:$N$6,2,FALSE)+Q181)</f>
        <v>55</v>
      </c>
      <c r="O196" s="172">
        <f ca="1">INDIRECT("A2!"&amp;"K"&amp;VLOOKUP("Participant",'A2'!$M$3:$N$6,2,FALSE)+Q181)</f>
        <v>0</v>
      </c>
      <c r="P196" s="191">
        <f ca="1">IF(ISERROR(N196/M196),"-",(N196/M196))</f>
        <v>0.93220338983050843</v>
      </c>
    </row>
    <row r="197" spans="2:17" ht="15" customHeight="1">
      <c r="B197" s="194"/>
      <c r="C197" s="22"/>
      <c r="D197" s="22"/>
      <c r="E197" s="42"/>
      <c r="F197" s="22"/>
      <c r="G197" s="22"/>
      <c r="H197" s="22"/>
      <c r="I197" s="22"/>
      <c r="J197" s="22"/>
      <c r="K197" s="22"/>
      <c r="L197" s="42"/>
      <c r="M197" s="22"/>
      <c r="N197" s="22"/>
      <c r="O197" s="22"/>
      <c r="P197" s="184"/>
    </row>
    <row r="198" spans="2:17" ht="15" customHeight="1">
      <c r="B198" s="915" t="s">
        <v>80</v>
      </c>
      <c r="C198" s="916"/>
      <c r="D198" s="96"/>
      <c r="E198" s="77"/>
      <c r="F198" s="907" t="s">
        <v>77</v>
      </c>
      <c r="G198" s="909"/>
      <c r="H198" s="907" t="s">
        <v>75</v>
      </c>
      <c r="I198" s="909"/>
      <c r="J198" s="907" t="s">
        <v>78</v>
      </c>
      <c r="K198" s="909"/>
      <c r="L198" s="77"/>
      <c r="M198" s="907" t="str">
        <f>B183&amp;" - "&amp;B193</f>
        <v>2008 - 2010</v>
      </c>
      <c r="N198" s="908"/>
      <c r="O198" s="909"/>
      <c r="P198" s="185"/>
    </row>
    <row r="199" spans="2:17" ht="15" customHeight="1">
      <c r="B199" s="186" t="s">
        <v>76</v>
      </c>
      <c r="C199" s="97" t="s">
        <v>24</v>
      </c>
      <c r="D199" s="98" t="s">
        <v>25</v>
      </c>
      <c r="E199" s="97"/>
      <c r="F199" s="447" t="s">
        <v>223</v>
      </c>
      <c r="G199" s="448" t="s">
        <v>221</v>
      </c>
      <c r="H199" s="447" t="s">
        <v>223</v>
      </c>
      <c r="I199" s="448" t="s">
        <v>221</v>
      </c>
      <c r="J199" s="447" t="s">
        <v>223</v>
      </c>
      <c r="K199" s="448" t="s">
        <v>221</v>
      </c>
      <c r="L199" s="77"/>
      <c r="M199" s="920" t="s">
        <v>96</v>
      </c>
      <c r="N199" s="921"/>
      <c r="O199" s="922"/>
      <c r="P199" s="187" t="s">
        <v>25</v>
      </c>
    </row>
    <row r="200" spans="2:17" ht="15" customHeight="1">
      <c r="B200" s="188" t="s">
        <v>12</v>
      </c>
      <c r="C200" s="160" t="s">
        <v>79</v>
      </c>
      <c r="D200" s="161" t="s">
        <v>12</v>
      </c>
      <c r="E200" s="97"/>
      <c r="F200" s="100" t="str">
        <f>$F$10</f>
        <v>kW*Yrs</v>
      </c>
      <c r="G200" s="99" t="str">
        <f>$G$10</f>
        <v>kWh</v>
      </c>
      <c r="H200" s="100" t="str">
        <f>$H$10</f>
        <v>kW*Yrs</v>
      </c>
      <c r="I200" s="99" t="str">
        <f>$I$10</f>
        <v>kWh</v>
      </c>
      <c r="J200" s="101" t="str">
        <f>$J$10</f>
        <v>kW*Yrs</v>
      </c>
      <c r="K200" s="102" t="str">
        <f>$K$10</f>
        <v>kWh</v>
      </c>
      <c r="L200" s="103"/>
      <c r="M200" s="162" t="s">
        <v>53</v>
      </c>
      <c r="N200" s="163" t="s">
        <v>24</v>
      </c>
      <c r="O200" s="163" t="s">
        <v>83</v>
      </c>
      <c r="P200" s="189" t="s">
        <v>29</v>
      </c>
    </row>
    <row r="201" spans="2:17" ht="15" customHeight="1">
      <c r="B201" s="466">
        <f ca="1">IF(ISERROR(AVERAGE(B186,B191,B196)),"-",AVERAGE(B186,B191,B196))</f>
        <v>24000</v>
      </c>
      <c r="C201" s="164">
        <f ca="1">IF(ISERROR(AVERAGE(C186,C191,C196)),"-",AVERAGE(C186,C191,C196))</f>
        <v>14975.873333333335</v>
      </c>
      <c r="D201" s="165">
        <f ca="1">IF(ISERROR(C201/B201),"-",(C201/B201))</f>
        <v>0.6239947222222223</v>
      </c>
      <c r="E201" s="166"/>
      <c r="F201" s="167">
        <f ca="1">IF(ISERROR(AVERAGE(F186,F191,F196)),"-",AVERAGE(F186,F191,F196))</f>
        <v>0</v>
      </c>
      <c r="G201" s="168">
        <f ca="1">IF(ISERROR(AVERAGE(G186,G191,G196)),"-",AVERAGE(G186,G191,G196))</f>
        <v>0</v>
      </c>
      <c r="H201" s="167">
        <f ca="1">IF(ISERROR(AVERAGE(H186,H191,H196)),"-",AVERAGE(H186,H191,H196))</f>
        <v>26.045740000000006</v>
      </c>
      <c r="I201" s="168">
        <f ca="1">IF(ISERROR(AVERAGE(I186,I191,I196)),"-",AVERAGE(I186,I191,I196))</f>
        <v>1325643.7740000002</v>
      </c>
      <c r="J201" s="169" t="str">
        <f ca="1">IF(ISERROR(H201/F201),"-",(H201/F201))</f>
        <v>-</v>
      </c>
      <c r="K201" s="170" t="str">
        <f ca="1">IF(ISERROR(I201/G201),"-",(I201/G201))</f>
        <v>-</v>
      </c>
      <c r="L201" s="171"/>
      <c r="M201" s="172">
        <f ca="1">IF(ISERROR(AVERAGE(M186,M191,M196)),"-",AVERAGE(M186,M191,M196))</f>
        <v>19.666666666666668</v>
      </c>
      <c r="N201" s="172">
        <f ca="1">IF(ISERROR(AVERAGE(N186,N191,N196)),"-",AVERAGE(N186,N191,N196))</f>
        <v>18.333333333333332</v>
      </c>
      <c r="O201" s="172">
        <f ca="1">IF(ISERROR(AVERAGE(O186,O191,O196)),"-",AVERAGE(O186,O191,O196))</f>
        <v>0</v>
      </c>
      <c r="P201" s="467">
        <f ca="1">IF(ISERROR(N201/M201),"-",(N201/M201))</f>
        <v>0.93220338983050832</v>
      </c>
    </row>
    <row r="202" spans="2:17" ht="15" customHeight="1">
      <c r="B202" s="200"/>
      <c r="C202" s="22"/>
      <c r="D202" s="22"/>
      <c r="E202" s="42"/>
      <c r="F202" s="22"/>
      <c r="G202" s="22"/>
      <c r="H202" s="22"/>
      <c r="I202" s="22"/>
      <c r="J202" s="22"/>
      <c r="K202" s="22"/>
      <c r="L202" s="42"/>
      <c r="M202" s="22"/>
      <c r="N202" s="22"/>
      <c r="O202" s="22"/>
      <c r="P202" s="460"/>
    </row>
    <row r="203" spans="2:17" ht="15" customHeight="1" thickBot="1">
      <c r="B203" s="545" t="str">
        <f>$B$28</f>
        <v>*Lifetime Savings</v>
      </c>
      <c r="C203" s="209"/>
      <c r="D203" s="209"/>
      <c r="E203" s="470"/>
      <c r="F203" s="209"/>
      <c r="G203" s="209"/>
      <c r="H203" s="209"/>
      <c r="I203" s="209"/>
      <c r="J203" s="209"/>
      <c r="K203" s="209"/>
      <c r="L203" s="470"/>
      <c r="M203" s="209"/>
      <c r="N203" s="209"/>
      <c r="O203" s="209"/>
      <c r="P203" s="471"/>
    </row>
    <row r="205" spans="2:17" ht="15" customHeight="1" thickBot="1"/>
    <row r="206" spans="2:17" ht="15" customHeight="1">
      <c r="B206" s="917" t="str">
        <f ca="1">'A2'!A17</f>
        <v>Program 9</v>
      </c>
      <c r="C206" s="918"/>
      <c r="D206" s="918"/>
      <c r="E206" s="918"/>
      <c r="F206" s="918"/>
      <c r="G206" s="918"/>
      <c r="H206" s="918"/>
      <c r="I206" s="918"/>
      <c r="J206" s="918"/>
      <c r="K206" s="918"/>
      <c r="L206" s="918"/>
      <c r="M206" s="918"/>
      <c r="N206" s="918"/>
      <c r="O206" s="918"/>
      <c r="P206" s="919"/>
      <c r="Q206" s="76">
        <v>9</v>
      </c>
    </row>
    <row r="207" spans="2:17" ht="15" customHeight="1">
      <c r="B207" s="183"/>
      <c r="C207" s="94"/>
      <c r="D207" s="94"/>
      <c r="E207" s="95"/>
      <c r="F207" s="94"/>
      <c r="G207" s="94"/>
      <c r="H207" s="94"/>
      <c r="I207" s="94"/>
      <c r="J207" s="94"/>
      <c r="K207" s="94"/>
      <c r="L207" s="95"/>
      <c r="M207" s="94"/>
      <c r="N207" s="23"/>
      <c r="O207" s="23"/>
      <c r="P207" s="184"/>
    </row>
    <row r="208" spans="2:17" ht="15" customHeight="1">
      <c r="B208" s="913">
        <f>$B$8</f>
        <v>2008</v>
      </c>
      <c r="C208" s="914"/>
      <c r="D208" s="96"/>
      <c r="E208" s="77"/>
      <c r="F208" s="907" t="s">
        <v>77</v>
      </c>
      <c r="G208" s="909"/>
      <c r="H208" s="907" t="s">
        <v>75</v>
      </c>
      <c r="I208" s="909"/>
      <c r="J208" s="907" t="s">
        <v>78</v>
      </c>
      <c r="K208" s="909"/>
      <c r="L208" s="77"/>
      <c r="M208" s="907">
        <f>B208</f>
        <v>2008</v>
      </c>
      <c r="N208" s="908"/>
      <c r="O208" s="909"/>
      <c r="P208" s="185"/>
    </row>
    <row r="209" spans="2:16" ht="15" customHeight="1">
      <c r="B209" s="186" t="s">
        <v>76</v>
      </c>
      <c r="C209" s="97" t="s">
        <v>24</v>
      </c>
      <c r="D209" s="98" t="s">
        <v>25</v>
      </c>
      <c r="E209" s="97"/>
      <c r="F209" s="447" t="s">
        <v>223</v>
      </c>
      <c r="G209" s="448" t="s">
        <v>221</v>
      </c>
      <c r="H209" s="447" t="s">
        <v>223</v>
      </c>
      <c r="I209" s="448" t="s">
        <v>221</v>
      </c>
      <c r="J209" s="447" t="s">
        <v>223</v>
      </c>
      <c r="K209" s="448" t="s">
        <v>221</v>
      </c>
      <c r="L209" s="77"/>
      <c r="M209" s="910" t="s">
        <v>96</v>
      </c>
      <c r="N209" s="911"/>
      <c r="O209" s="912"/>
      <c r="P209" s="187" t="s">
        <v>25</v>
      </c>
    </row>
    <row r="210" spans="2:16" ht="15" customHeight="1">
      <c r="B210" s="188" t="s">
        <v>12</v>
      </c>
      <c r="C210" s="160" t="s">
        <v>79</v>
      </c>
      <c r="D210" s="161" t="s">
        <v>12</v>
      </c>
      <c r="E210" s="97"/>
      <c r="F210" s="100" t="str">
        <f>$F$10</f>
        <v>kW*Yrs</v>
      </c>
      <c r="G210" s="99" t="str">
        <f>$G$10</f>
        <v>kWh</v>
      </c>
      <c r="H210" s="100" t="str">
        <f>$H$10</f>
        <v>kW*Yrs</v>
      </c>
      <c r="I210" s="99" t="str">
        <f>$I$10</f>
        <v>kWh</v>
      </c>
      <c r="J210" s="101" t="str">
        <f>$J$10</f>
        <v>kW*Yrs</v>
      </c>
      <c r="K210" s="102" t="str">
        <f>$K$10</f>
        <v>kWh</v>
      </c>
      <c r="L210" s="103"/>
      <c r="M210" s="162" t="s">
        <v>53</v>
      </c>
      <c r="N210" s="163" t="s">
        <v>24</v>
      </c>
      <c r="O210" s="163" t="s">
        <v>83</v>
      </c>
      <c r="P210" s="189" t="s">
        <v>29</v>
      </c>
    </row>
    <row r="211" spans="2:16" ht="15" customHeight="1">
      <c r="B211" s="190">
        <f ca="1">INDIRECT("A2!"&amp;"D"&amp;VLOOKUP("Budget",'A2'!$M$3:$N$6,2,FALSE)+Q206)</f>
        <v>0</v>
      </c>
      <c r="C211" s="164">
        <f ca="1">INDIRECT("A2!"&amp;"E"&amp;VLOOKUP("Budget",'A2'!$M$3:$N$6,2,FALSE)+Q206)</f>
        <v>0</v>
      </c>
      <c r="D211" s="165" t="str">
        <f ca="1">IF(ISERROR(C211/B211),"-",(C211/B211))</f>
        <v>-</v>
      </c>
      <c r="E211" s="166"/>
      <c r="F211" s="167">
        <f ca="1">INDIRECT("A2!"&amp;"D"&amp;VLOOKUP("Demand",'A2'!$M$3:$N$6,2,FALSE)+Q206)</f>
        <v>0</v>
      </c>
      <c r="G211" s="168">
        <f ca="1">INDIRECT("A2!"&amp;"D"&amp;VLOOKUP("Energy",'A2'!$M$3:$N$6,2,FALSE)+Q206)</f>
        <v>0</v>
      </c>
      <c r="H211" s="167">
        <f ca="1">INDIRECT("A2!"&amp;"E"&amp;VLOOKUP("Demand",'A2'!$M$3:$N$6,2,FALSE)+Q206)</f>
        <v>0</v>
      </c>
      <c r="I211" s="168">
        <f ca="1">INDIRECT("A2!"&amp;"E"&amp;VLOOKUP("Energy",'A2'!$M$3:$N$6,2,FALSE)+Q206)</f>
        <v>0</v>
      </c>
      <c r="J211" s="169" t="str">
        <f ca="1">IF(ISERROR(H211/F211),"-",(H211/F211))</f>
        <v>-</v>
      </c>
      <c r="K211" s="170" t="str">
        <f ca="1">IF(ISERROR(I211/G211),"-",(I211/G211))</f>
        <v>-</v>
      </c>
      <c r="L211" s="171"/>
      <c r="M211" s="172">
        <f ca="1">INDIRECT("A2!"&amp;"C"&amp;VLOOKUP("Participant",'A2'!$M$3:$N$6,2,FALSE)+Q206)</f>
        <v>0</v>
      </c>
      <c r="N211" s="172">
        <f ca="1">INDIRECT("A2!"&amp;"D"&amp;VLOOKUP("Participant",'A2'!$M$3:$N$6,2,FALSE)+Q206)</f>
        <v>0</v>
      </c>
      <c r="O211" s="172">
        <f ca="1">INDIRECT("A2!"&amp;"E"&amp;VLOOKUP("Participant",'A2'!$M$3:$N$6,2,FALSE)+Q206)</f>
        <v>0</v>
      </c>
      <c r="P211" s="191" t="str">
        <f ca="1">IF(ISERROR(N211/M211),"-",(N211/M211))</f>
        <v>-</v>
      </c>
    </row>
    <row r="212" spans="2:16" ht="15" customHeight="1">
      <c r="B212" s="183"/>
      <c r="C212" s="94"/>
      <c r="D212" s="94"/>
      <c r="E212" s="37"/>
      <c r="F212" s="94"/>
      <c r="G212" s="94"/>
      <c r="H212" s="94"/>
      <c r="I212" s="94"/>
      <c r="J212" s="94"/>
      <c r="K212" s="94"/>
      <c r="L212" s="37"/>
      <c r="M212" s="94"/>
      <c r="N212" s="23"/>
      <c r="O212" s="23"/>
      <c r="P212" s="184"/>
    </row>
    <row r="213" spans="2:16" ht="15" customHeight="1">
      <c r="B213" s="913">
        <f>$B$13</f>
        <v>2009</v>
      </c>
      <c r="C213" s="914"/>
      <c r="D213" s="96"/>
      <c r="E213" s="77"/>
      <c r="F213" s="907" t="s">
        <v>77</v>
      </c>
      <c r="G213" s="909"/>
      <c r="H213" s="907" t="s">
        <v>75</v>
      </c>
      <c r="I213" s="909"/>
      <c r="J213" s="907" t="s">
        <v>78</v>
      </c>
      <c r="K213" s="909"/>
      <c r="L213" s="77"/>
      <c r="M213" s="907">
        <f>B213</f>
        <v>2009</v>
      </c>
      <c r="N213" s="908"/>
      <c r="O213" s="909"/>
      <c r="P213" s="185"/>
    </row>
    <row r="214" spans="2:16" ht="15" customHeight="1">
      <c r="B214" s="186" t="s">
        <v>76</v>
      </c>
      <c r="C214" s="97" t="s">
        <v>24</v>
      </c>
      <c r="D214" s="98" t="s">
        <v>25</v>
      </c>
      <c r="E214" s="97"/>
      <c r="F214" s="447" t="s">
        <v>223</v>
      </c>
      <c r="G214" s="448" t="s">
        <v>221</v>
      </c>
      <c r="H214" s="447" t="s">
        <v>223</v>
      </c>
      <c r="I214" s="448" t="s">
        <v>221</v>
      </c>
      <c r="J214" s="447" t="s">
        <v>223</v>
      </c>
      <c r="K214" s="448" t="s">
        <v>221</v>
      </c>
      <c r="L214" s="77"/>
      <c r="M214" s="910" t="s">
        <v>96</v>
      </c>
      <c r="N214" s="911"/>
      <c r="O214" s="912"/>
      <c r="P214" s="187" t="s">
        <v>25</v>
      </c>
    </row>
    <row r="215" spans="2:16" ht="15" customHeight="1">
      <c r="B215" s="188" t="s">
        <v>12</v>
      </c>
      <c r="C215" s="160" t="s">
        <v>79</v>
      </c>
      <c r="D215" s="161" t="s">
        <v>12</v>
      </c>
      <c r="E215" s="97"/>
      <c r="F215" s="100" t="str">
        <f>$F$10</f>
        <v>kW*Yrs</v>
      </c>
      <c r="G215" s="99" t="str">
        <f>$G$10</f>
        <v>kWh</v>
      </c>
      <c r="H215" s="100" t="str">
        <f>$H$10</f>
        <v>kW*Yrs</v>
      </c>
      <c r="I215" s="99" t="str">
        <f>$I$10</f>
        <v>kWh</v>
      </c>
      <c r="J215" s="101" t="str">
        <f>$J$10</f>
        <v>kW*Yrs</v>
      </c>
      <c r="K215" s="102" t="str">
        <f>$K$10</f>
        <v>kWh</v>
      </c>
      <c r="L215" s="103"/>
      <c r="M215" s="162" t="s">
        <v>53</v>
      </c>
      <c r="N215" s="163" t="s">
        <v>24</v>
      </c>
      <c r="O215" s="163" t="s">
        <v>83</v>
      </c>
      <c r="P215" s="189" t="s">
        <v>29</v>
      </c>
    </row>
    <row r="216" spans="2:16" ht="15" customHeight="1">
      <c r="B216" s="190">
        <f ca="1">INDIRECT("A2!"&amp;"F"&amp;VLOOKUP("Budget",'A2'!$M$3:$N$6,2,FALSE)+Q206)</f>
        <v>0</v>
      </c>
      <c r="C216" s="164">
        <f ca="1">INDIRECT("A2!"&amp;"G"&amp;VLOOKUP("Budget",'A2'!$M$3:$N$6,2,FALSE)+Q206)</f>
        <v>0</v>
      </c>
      <c r="D216" s="165" t="str">
        <f ca="1">IF(ISERROR(C216/B216),"-",(C216/B216))</f>
        <v>-</v>
      </c>
      <c r="E216" s="166"/>
      <c r="F216" s="167">
        <f ca="1">INDIRECT("A2!"&amp;"F"&amp;VLOOKUP("Demand",'A2'!$M$3:$N$6,2,FALSE)+Q206)</f>
        <v>0</v>
      </c>
      <c r="G216" s="168">
        <f ca="1">INDIRECT("A2!"&amp;"F"&amp;VLOOKUP("Energy",'A2'!$M$3:$N$6,2,FALSE)+Q206)</f>
        <v>0</v>
      </c>
      <c r="H216" s="167">
        <f ca="1">INDIRECT("A2!"&amp;"G"&amp;VLOOKUP("Demand",'A2'!$M$3:$N$6,2,FALSE)+Q206)</f>
        <v>0</v>
      </c>
      <c r="I216" s="168">
        <f ca="1">INDIRECT("A2!"&amp;"G"&amp;VLOOKUP("Energy",'A2'!$M$3:$N$6,2,FALSE)+Q206)</f>
        <v>0</v>
      </c>
      <c r="J216" s="169" t="str">
        <f ca="1">IF(ISERROR(H216/F216),"-",(H216/F216))</f>
        <v>-</v>
      </c>
      <c r="K216" s="170" t="str">
        <f ca="1">IF(ISERROR(I216/G216),"-",(I216/G216))</f>
        <v>-</v>
      </c>
      <c r="L216" s="171"/>
      <c r="M216" s="172">
        <f ca="1">INDIRECT("A2!"&amp;"F"&amp;VLOOKUP("Participant",'A2'!$M$3:$N$6,2,FALSE)+Q206)</f>
        <v>0</v>
      </c>
      <c r="N216" s="172">
        <f ca="1">INDIRECT("A2!"&amp;"G"&amp;VLOOKUP("Participant",'A2'!$M$3:$N$6,2,FALSE)+Q206)</f>
        <v>0</v>
      </c>
      <c r="O216" s="172">
        <f ca="1">INDIRECT("A2!"&amp;"H"&amp;VLOOKUP("Participant",'A2'!$M$3:$N$6,2,FALSE)+Q206)</f>
        <v>0</v>
      </c>
      <c r="P216" s="191" t="str">
        <f ca="1">IF(ISERROR(N216/M216),"-",(N216/M216))</f>
        <v>-</v>
      </c>
    </row>
    <row r="217" spans="2:16" ht="15" customHeight="1">
      <c r="B217" s="192"/>
      <c r="C217" s="37"/>
      <c r="D217" s="37"/>
      <c r="E217" s="37"/>
      <c r="F217" s="37"/>
      <c r="G217" s="37"/>
      <c r="H217" s="37"/>
      <c r="I217" s="37"/>
      <c r="J217" s="37"/>
      <c r="K217" s="37"/>
      <c r="L217" s="37"/>
      <c r="M217" s="37"/>
      <c r="N217" s="77"/>
      <c r="O217" s="77"/>
      <c r="P217" s="193"/>
    </row>
    <row r="218" spans="2:16" ht="15" customHeight="1">
      <c r="B218" s="913">
        <f>$B$18</f>
        <v>2010</v>
      </c>
      <c r="C218" s="914"/>
      <c r="D218" s="96"/>
      <c r="E218" s="77"/>
      <c r="F218" s="907" t="s">
        <v>77</v>
      </c>
      <c r="G218" s="909"/>
      <c r="H218" s="907" t="s">
        <v>75</v>
      </c>
      <c r="I218" s="909"/>
      <c r="J218" s="907" t="s">
        <v>78</v>
      </c>
      <c r="K218" s="909"/>
      <c r="L218" s="77"/>
      <c r="M218" s="907">
        <f>B218</f>
        <v>2010</v>
      </c>
      <c r="N218" s="908"/>
      <c r="O218" s="909"/>
      <c r="P218" s="185"/>
    </row>
    <row r="219" spans="2:16" ht="15" customHeight="1">
      <c r="B219" s="186" t="s">
        <v>76</v>
      </c>
      <c r="C219" s="97" t="s">
        <v>24</v>
      </c>
      <c r="D219" s="98" t="s">
        <v>25</v>
      </c>
      <c r="E219" s="97"/>
      <c r="F219" s="447" t="s">
        <v>223</v>
      </c>
      <c r="G219" s="448" t="s">
        <v>221</v>
      </c>
      <c r="H219" s="447" t="s">
        <v>223</v>
      </c>
      <c r="I219" s="448" t="s">
        <v>221</v>
      </c>
      <c r="J219" s="447" t="s">
        <v>223</v>
      </c>
      <c r="K219" s="448" t="s">
        <v>221</v>
      </c>
      <c r="L219" s="77"/>
      <c r="M219" s="910" t="s">
        <v>96</v>
      </c>
      <c r="N219" s="911"/>
      <c r="O219" s="912"/>
      <c r="P219" s="187" t="s">
        <v>25</v>
      </c>
    </row>
    <row r="220" spans="2:16" ht="15" customHeight="1">
      <c r="B220" s="188" t="s">
        <v>12</v>
      </c>
      <c r="C220" s="160" t="s">
        <v>79</v>
      </c>
      <c r="D220" s="161" t="s">
        <v>12</v>
      </c>
      <c r="E220" s="97"/>
      <c r="F220" s="100" t="str">
        <f>$F$10</f>
        <v>kW*Yrs</v>
      </c>
      <c r="G220" s="99" t="str">
        <f>$G$10</f>
        <v>kWh</v>
      </c>
      <c r="H220" s="100" t="str">
        <f>$H$10</f>
        <v>kW*Yrs</v>
      </c>
      <c r="I220" s="99" t="str">
        <f>$I$10</f>
        <v>kWh</v>
      </c>
      <c r="J220" s="101" t="str">
        <f>$J$10</f>
        <v>kW*Yrs</v>
      </c>
      <c r="K220" s="102" t="str">
        <f>$K$10</f>
        <v>kWh</v>
      </c>
      <c r="L220" s="103"/>
      <c r="M220" s="162" t="s">
        <v>53</v>
      </c>
      <c r="N220" s="163" t="s">
        <v>24</v>
      </c>
      <c r="O220" s="163" t="s">
        <v>83</v>
      </c>
      <c r="P220" s="189" t="s">
        <v>29</v>
      </c>
    </row>
    <row r="221" spans="2:16" ht="15" customHeight="1">
      <c r="B221" s="190">
        <f ca="1">INDIRECT("A2!"&amp;"H"&amp;VLOOKUP("Budget",'A2'!$M$3:$N$6,2,FALSE)+Q206)</f>
        <v>0</v>
      </c>
      <c r="C221" s="164">
        <f ca="1">INDIRECT("A2!"&amp;"I"&amp;VLOOKUP("Budget",'A2'!$M$3:$N$6,2,FALSE)+Q206)</f>
        <v>0</v>
      </c>
      <c r="D221" s="165" t="str">
        <f ca="1">IF(ISERROR(C221/B221),"-",(C221/B221))</f>
        <v>-</v>
      </c>
      <c r="E221" s="166"/>
      <c r="F221" s="167">
        <f ca="1">INDIRECT("A2!"&amp;"H"&amp;VLOOKUP("Demand",'A2'!$M$3:$N$6,2,FALSE)+Q206)</f>
        <v>0</v>
      </c>
      <c r="G221" s="168">
        <f ca="1">INDIRECT("A2!"&amp;"H"&amp;VLOOKUP("Energy",'A2'!$M$3:$N$6,2,FALSE)+Q206)</f>
        <v>0</v>
      </c>
      <c r="H221" s="167">
        <f ca="1">INDIRECT("A2!"&amp;"I"&amp;VLOOKUP("Demand",'A2'!$M$3:$N$6,2,FALSE)+Q206)</f>
        <v>0</v>
      </c>
      <c r="I221" s="168">
        <f ca="1">INDIRECT("A2!"&amp;"I"&amp;VLOOKUP("Energy",'A2'!$M$3:$N$6,2,FALSE)+Q206)</f>
        <v>0</v>
      </c>
      <c r="J221" s="169" t="str">
        <f ca="1">IF(ISERROR(H221/F221),"-",(H221/F221))</f>
        <v>-</v>
      </c>
      <c r="K221" s="170" t="str">
        <f ca="1">IF(ISERROR(I221/G221),"-",(I221/G221))</f>
        <v>-</v>
      </c>
      <c r="L221" s="171"/>
      <c r="M221" s="172">
        <f ca="1">INDIRECT("A2!"&amp;"I"&amp;VLOOKUP("Participant",'A2'!$M$3:$N$6,2,FALSE)+Q206)</f>
        <v>0</v>
      </c>
      <c r="N221" s="172">
        <f ca="1">INDIRECT("A2!"&amp;"J"&amp;VLOOKUP("Participant",'A2'!$M$3:$N$6,2,FALSE)+Q206)</f>
        <v>0</v>
      </c>
      <c r="O221" s="172">
        <f ca="1">INDIRECT("A2!"&amp;"K"&amp;VLOOKUP("Participant",'A2'!$M$3:$N$6,2,FALSE)+Q206)</f>
        <v>0</v>
      </c>
      <c r="P221" s="191" t="str">
        <f ca="1">IF(ISERROR(N221/M221),"-",(N221/M221))</f>
        <v>-</v>
      </c>
    </row>
    <row r="222" spans="2:16" ht="15" customHeight="1">
      <c r="B222" s="194"/>
      <c r="C222" s="22"/>
      <c r="D222" s="22"/>
      <c r="E222" s="42"/>
      <c r="F222" s="22"/>
      <c r="G222" s="22"/>
      <c r="H222" s="22"/>
      <c r="I222" s="22"/>
      <c r="J222" s="22"/>
      <c r="K222" s="22"/>
      <c r="L222" s="42"/>
      <c r="M222" s="22"/>
      <c r="N222" s="22"/>
      <c r="O222" s="22"/>
      <c r="P222" s="184"/>
    </row>
    <row r="223" spans="2:16" ht="15" customHeight="1">
      <c r="B223" s="915" t="s">
        <v>80</v>
      </c>
      <c r="C223" s="916"/>
      <c r="D223" s="96"/>
      <c r="E223" s="77"/>
      <c r="F223" s="907" t="s">
        <v>77</v>
      </c>
      <c r="G223" s="909"/>
      <c r="H223" s="907" t="s">
        <v>75</v>
      </c>
      <c r="I223" s="909"/>
      <c r="J223" s="907" t="s">
        <v>78</v>
      </c>
      <c r="K223" s="909"/>
      <c r="L223" s="77"/>
      <c r="M223" s="907" t="str">
        <f>B208&amp;" - "&amp;B218</f>
        <v>2008 - 2010</v>
      </c>
      <c r="N223" s="908"/>
      <c r="O223" s="909"/>
      <c r="P223" s="185"/>
    </row>
    <row r="224" spans="2:16" ht="15" customHeight="1">
      <c r="B224" s="186" t="s">
        <v>76</v>
      </c>
      <c r="C224" s="97" t="s">
        <v>24</v>
      </c>
      <c r="D224" s="98" t="s">
        <v>25</v>
      </c>
      <c r="E224" s="97"/>
      <c r="F224" s="447" t="s">
        <v>223</v>
      </c>
      <c r="G224" s="448" t="s">
        <v>221</v>
      </c>
      <c r="H224" s="447" t="s">
        <v>223</v>
      </c>
      <c r="I224" s="448" t="s">
        <v>221</v>
      </c>
      <c r="J224" s="447" t="s">
        <v>223</v>
      </c>
      <c r="K224" s="448" t="s">
        <v>221</v>
      </c>
      <c r="L224" s="77"/>
      <c r="M224" s="910" t="s">
        <v>96</v>
      </c>
      <c r="N224" s="911"/>
      <c r="O224" s="912"/>
      <c r="P224" s="187" t="s">
        <v>25</v>
      </c>
    </row>
    <row r="225" spans="2:17" ht="15" customHeight="1">
      <c r="B225" s="188" t="s">
        <v>12</v>
      </c>
      <c r="C225" s="160" t="s">
        <v>79</v>
      </c>
      <c r="D225" s="161" t="s">
        <v>12</v>
      </c>
      <c r="E225" s="97"/>
      <c r="F225" s="100" t="str">
        <f>$F$10</f>
        <v>kW*Yrs</v>
      </c>
      <c r="G225" s="99" t="str">
        <f>$G$10</f>
        <v>kWh</v>
      </c>
      <c r="H225" s="100" t="str">
        <f>$H$10</f>
        <v>kW*Yrs</v>
      </c>
      <c r="I225" s="99" t="str">
        <f>$I$10</f>
        <v>kWh</v>
      </c>
      <c r="J225" s="101" t="str">
        <f>$J$10</f>
        <v>kW*Yrs</v>
      </c>
      <c r="K225" s="102" t="str">
        <f>$K$10</f>
        <v>kWh</v>
      </c>
      <c r="L225" s="103"/>
      <c r="M225" s="162" t="s">
        <v>53</v>
      </c>
      <c r="N225" s="163" t="s">
        <v>24</v>
      </c>
      <c r="O225" s="163" t="s">
        <v>83</v>
      </c>
      <c r="P225" s="189" t="s">
        <v>29</v>
      </c>
    </row>
    <row r="226" spans="2:17" ht="15" customHeight="1">
      <c r="B226" s="466">
        <f ca="1">IF(ISERROR(AVERAGE(B211,B216,B221)),"-",AVERAGE(B211,B216,B221))</f>
        <v>0</v>
      </c>
      <c r="C226" s="164">
        <f ca="1">IF(ISERROR(AVERAGE(C211,C216,C221)),"-",AVERAGE(C211,C216,C221))</f>
        <v>0</v>
      </c>
      <c r="D226" s="165" t="str">
        <f ca="1">IF(ISERROR(C226/B226),"-",(C226/B226))</f>
        <v>-</v>
      </c>
      <c r="E226" s="166"/>
      <c r="F226" s="167">
        <f ca="1">IF(ISERROR(AVERAGE(F211,F216,F221)),"-",AVERAGE(F211,F216,F221))</f>
        <v>0</v>
      </c>
      <c r="G226" s="168">
        <f ca="1">IF(ISERROR(AVERAGE(G211,G216,G221)),"-",AVERAGE(G211,G216,G221))</f>
        <v>0</v>
      </c>
      <c r="H226" s="167">
        <f ca="1">IF(ISERROR(AVERAGE(H211,H216,H221)),"-",AVERAGE(H211,H216,H221))</f>
        <v>0</v>
      </c>
      <c r="I226" s="168">
        <f ca="1">IF(ISERROR(AVERAGE(I211,I216,I221)),"-",AVERAGE(I211,I216,I221))</f>
        <v>0</v>
      </c>
      <c r="J226" s="169" t="str">
        <f ca="1">IF(ISERROR(H226/F226),"-",(H226/F226))</f>
        <v>-</v>
      </c>
      <c r="K226" s="170" t="str">
        <f ca="1">IF(ISERROR(I226/G226),"-",(I226/G226))</f>
        <v>-</v>
      </c>
      <c r="L226" s="171"/>
      <c r="M226" s="172">
        <f ca="1">IF(ISERROR(AVERAGE(M211,M216,M221)),"-",AVERAGE(M211,M216,M221))</f>
        <v>0</v>
      </c>
      <c r="N226" s="172">
        <f ca="1">IF(ISERROR(AVERAGE(N211,N216,N221)),"-",AVERAGE(N211,N216,N221))</f>
        <v>0</v>
      </c>
      <c r="O226" s="172">
        <f ca="1">IF(ISERROR(AVERAGE(O211,O216,O221)),"-",AVERAGE(O211,O216,O221))</f>
        <v>0</v>
      </c>
      <c r="P226" s="467" t="str">
        <f ca="1">IF(ISERROR(N226/M226),"-",(N226/M226))</f>
        <v>-</v>
      </c>
    </row>
    <row r="227" spans="2:17" ht="15" customHeight="1">
      <c r="B227" s="200"/>
      <c r="C227" s="22"/>
      <c r="D227" s="22"/>
      <c r="E227" s="42"/>
      <c r="F227" s="22"/>
      <c r="G227" s="22"/>
      <c r="H227" s="22"/>
      <c r="I227" s="22"/>
      <c r="J227" s="22"/>
      <c r="K227" s="22"/>
      <c r="L227" s="42"/>
      <c r="M227" s="22"/>
      <c r="N227" s="22"/>
      <c r="O227" s="22"/>
      <c r="P227" s="460"/>
    </row>
    <row r="228" spans="2:17" ht="15" customHeight="1" thickBot="1">
      <c r="B228" s="545" t="str">
        <f>$B$28</f>
        <v>*Lifetime Savings</v>
      </c>
      <c r="C228" s="209"/>
      <c r="D228" s="209"/>
      <c r="E228" s="470"/>
      <c r="F228" s="209"/>
      <c r="G228" s="209"/>
      <c r="H228" s="209"/>
      <c r="I228" s="209"/>
      <c r="J228" s="209"/>
      <c r="K228" s="209"/>
      <c r="L228" s="470"/>
      <c r="M228" s="209"/>
      <c r="N228" s="209"/>
      <c r="O228" s="209"/>
      <c r="P228" s="471"/>
    </row>
    <row r="229" spans="2:17" ht="15" customHeight="1">
      <c r="B229" s="472"/>
      <c r="C229" s="22"/>
      <c r="D229" s="22"/>
      <c r="E229" s="42"/>
      <c r="F229" s="22"/>
      <c r="G229" s="22"/>
      <c r="H229" s="22"/>
      <c r="I229" s="22"/>
      <c r="J229" s="22"/>
      <c r="K229" s="22"/>
      <c r="L229" s="42"/>
      <c r="M229" s="22"/>
      <c r="N229" s="22"/>
      <c r="O229" s="22"/>
      <c r="P229" s="458"/>
    </row>
    <row r="230" spans="2:17" ht="15" customHeight="1">
      <c r="B230" s="472"/>
      <c r="C230" s="22"/>
      <c r="D230" s="22"/>
      <c r="E230" s="42"/>
      <c r="F230" s="22"/>
      <c r="G230" s="22"/>
      <c r="H230" s="22"/>
      <c r="I230" s="22"/>
      <c r="J230" s="22"/>
      <c r="K230" s="22"/>
      <c r="L230" s="42"/>
      <c r="M230" s="22"/>
      <c r="N230" s="22"/>
      <c r="O230" s="22"/>
      <c r="P230" s="458"/>
    </row>
    <row r="232" spans="2:17" ht="15" customHeight="1" thickBot="1"/>
    <row r="233" spans="2:17" ht="15" customHeight="1">
      <c r="B233" s="917" t="str">
        <f ca="1">'A2'!A18</f>
        <v>Program 10</v>
      </c>
      <c r="C233" s="918"/>
      <c r="D233" s="918"/>
      <c r="E233" s="918"/>
      <c r="F233" s="918"/>
      <c r="G233" s="918"/>
      <c r="H233" s="918"/>
      <c r="I233" s="918"/>
      <c r="J233" s="918"/>
      <c r="K233" s="918"/>
      <c r="L233" s="918"/>
      <c r="M233" s="918"/>
      <c r="N233" s="918"/>
      <c r="O233" s="918"/>
      <c r="P233" s="919"/>
      <c r="Q233" s="76">
        <v>10</v>
      </c>
    </row>
    <row r="234" spans="2:17" ht="15" customHeight="1">
      <c r="B234" s="183"/>
      <c r="C234" s="94"/>
      <c r="D234" s="94"/>
      <c r="E234" s="95"/>
      <c r="F234" s="94"/>
      <c r="G234" s="94"/>
      <c r="H234" s="94"/>
      <c r="I234" s="94"/>
      <c r="J234" s="94"/>
      <c r="K234" s="94"/>
      <c r="L234" s="95"/>
      <c r="M234" s="94"/>
      <c r="N234" s="23"/>
      <c r="O234" s="23"/>
      <c r="P234" s="184"/>
    </row>
    <row r="235" spans="2:17" ht="15" customHeight="1">
      <c r="B235" s="913">
        <f>$B$8</f>
        <v>2008</v>
      </c>
      <c r="C235" s="914"/>
      <c r="D235" s="96"/>
      <c r="E235" s="77"/>
      <c r="F235" s="907" t="s">
        <v>77</v>
      </c>
      <c r="G235" s="909"/>
      <c r="H235" s="907" t="s">
        <v>75</v>
      </c>
      <c r="I235" s="909"/>
      <c r="J235" s="907" t="s">
        <v>78</v>
      </c>
      <c r="K235" s="909"/>
      <c r="L235" s="77"/>
      <c r="M235" s="907">
        <f>B235</f>
        <v>2008</v>
      </c>
      <c r="N235" s="908"/>
      <c r="O235" s="909"/>
      <c r="P235" s="185"/>
    </row>
    <row r="236" spans="2:17" ht="15" customHeight="1">
      <c r="B236" s="186" t="s">
        <v>76</v>
      </c>
      <c r="C236" s="97" t="s">
        <v>24</v>
      </c>
      <c r="D236" s="98" t="s">
        <v>25</v>
      </c>
      <c r="E236" s="97"/>
      <c r="F236" s="447" t="s">
        <v>223</v>
      </c>
      <c r="G236" s="448" t="s">
        <v>221</v>
      </c>
      <c r="H236" s="447" t="s">
        <v>223</v>
      </c>
      <c r="I236" s="448" t="s">
        <v>221</v>
      </c>
      <c r="J236" s="447" t="s">
        <v>223</v>
      </c>
      <c r="K236" s="448" t="s">
        <v>221</v>
      </c>
      <c r="L236" s="77"/>
      <c r="M236" s="910" t="s">
        <v>96</v>
      </c>
      <c r="N236" s="911"/>
      <c r="O236" s="912"/>
      <c r="P236" s="187" t="s">
        <v>25</v>
      </c>
    </row>
    <row r="237" spans="2:17" ht="15" customHeight="1">
      <c r="B237" s="188" t="s">
        <v>12</v>
      </c>
      <c r="C237" s="160" t="s">
        <v>79</v>
      </c>
      <c r="D237" s="161" t="s">
        <v>12</v>
      </c>
      <c r="E237" s="97"/>
      <c r="F237" s="100" t="str">
        <f>$F$10</f>
        <v>kW*Yrs</v>
      </c>
      <c r="G237" s="99" t="str">
        <f>$G$10</f>
        <v>kWh</v>
      </c>
      <c r="H237" s="100" t="str">
        <f>$H$10</f>
        <v>kW*Yrs</v>
      </c>
      <c r="I237" s="99" t="str">
        <f>$I$10</f>
        <v>kWh</v>
      </c>
      <c r="J237" s="101" t="str">
        <f>$J$10</f>
        <v>kW*Yrs</v>
      </c>
      <c r="K237" s="102" t="str">
        <f>$K$10</f>
        <v>kWh</v>
      </c>
      <c r="L237" s="103"/>
      <c r="M237" s="162" t="s">
        <v>53</v>
      </c>
      <c r="N237" s="163" t="s">
        <v>24</v>
      </c>
      <c r="O237" s="163" t="s">
        <v>83</v>
      </c>
      <c r="P237" s="189" t="s">
        <v>29</v>
      </c>
    </row>
    <row r="238" spans="2:17" ht="15" customHeight="1">
      <c r="B238" s="190">
        <f ca="1">INDIRECT("A2!"&amp;"D"&amp;VLOOKUP("Budget",'A2'!$M$3:$N$6,2,FALSE)+Q233)</f>
        <v>0</v>
      </c>
      <c r="C238" s="164">
        <f ca="1">INDIRECT("A2!"&amp;"E"&amp;VLOOKUP("Budget",'A2'!$M$3:$N$6,2,FALSE)+Q233)</f>
        <v>0</v>
      </c>
      <c r="D238" s="165" t="str">
        <f ca="1">IF(ISERROR(C238/B238),"-",(C238/B238))</f>
        <v>-</v>
      </c>
      <c r="E238" s="166"/>
      <c r="F238" s="167">
        <f ca="1">INDIRECT("A2!"&amp;"D"&amp;VLOOKUP("Demand",'A2'!$M$3:$N$6,2,FALSE)+Q233)</f>
        <v>0</v>
      </c>
      <c r="G238" s="168">
        <f ca="1">INDIRECT("A2!"&amp;"D"&amp;VLOOKUP("Energy",'A2'!$M$3:$N$6,2,FALSE)+Q233)</f>
        <v>0</v>
      </c>
      <c r="H238" s="167">
        <f ca="1">INDIRECT("A2!"&amp;"E"&amp;VLOOKUP("Demand",'A2'!$M$3:$N$6,2,FALSE)+Q233)</f>
        <v>0</v>
      </c>
      <c r="I238" s="168">
        <f ca="1">INDIRECT("A2!"&amp;"E"&amp;VLOOKUP("Energy",'A2'!$M$3:$N$6,2,FALSE)+Q233)</f>
        <v>0</v>
      </c>
      <c r="J238" s="169" t="str">
        <f ca="1">IF(ISERROR(H238/F238),"-",(H238/F238))</f>
        <v>-</v>
      </c>
      <c r="K238" s="170" t="str">
        <f ca="1">IF(ISERROR(I238/G238),"-",(I238/G238))</f>
        <v>-</v>
      </c>
      <c r="L238" s="171"/>
      <c r="M238" s="172">
        <f ca="1">INDIRECT("A2!"&amp;"C"&amp;VLOOKUP("Participant",'A2'!$M$3:$N$6,2,FALSE)+Q233)</f>
        <v>0</v>
      </c>
      <c r="N238" s="172">
        <f ca="1">INDIRECT("A2!"&amp;"D"&amp;VLOOKUP("Participant",'A2'!$M$3:$N$6,2,FALSE)+Q233)</f>
        <v>0</v>
      </c>
      <c r="O238" s="172">
        <f ca="1">INDIRECT("A2!"&amp;"E"&amp;VLOOKUP("Participant",'A2'!$M$3:$N$6,2,FALSE)+Q233)</f>
        <v>0</v>
      </c>
      <c r="P238" s="191" t="str">
        <f ca="1">IF(ISERROR(N238/M238),"-",(N238/M238))</f>
        <v>-</v>
      </c>
    </row>
    <row r="239" spans="2:17" ht="15" customHeight="1">
      <c r="B239" s="183"/>
      <c r="C239" s="94"/>
      <c r="D239" s="94"/>
      <c r="E239" s="37"/>
      <c r="F239" s="94"/>
      <c r="G239" s="94"/>
      <c r="H239" s="94"/>
      <c r="I239" s="94"/>
      <c r="J239" s="94"/>
      <c r="K239" s="94"/>
      <c r="L239" s="37"/>
      <c r="M239" s="94"/>
      <c r="N239" s="23"/>
      <c r="O239" s="23"/>
      <c r="P239" s="184"/>
    </row>
    <row r="240" spans="2:17" ht="15" customHeight="1">
      <c r="B240" s="913">
        <f>$B$13</f>
        <v>2009</v>
      </c>
      <c r="C240" s="914"/>
      <c r="D240" s="96"/>
      <c r="E240" s="77"/>
      <c r="F240" s="907" t="s">
        <v>77</v>
      </c>
      <c r="G240" s="909"/>
      <c r="H240" s="907" t="s">
        <v>75</v>
      </c>
      <c r="I240" s="909"/>
      <c r="J240" s="907" t="s">
        <v>78</v>
      </c>
      <c r="K240" s="909"/>
      <c r="L240" s="77"/>
      <c r="M240" s="907">
        <f>B240</f>
        <v>2009</v>
      </c>
      <c r="N240" s="908"/>
      <c r="O240" s="909"/>
      <c r="P240" s="185"/>
    </row>
    <row r="241" spans="2:16" ht="15" customHeight="1">
      <c r="B241" s="186" t="s">
        <v>76</v>
      </c>
      <c r="C241" s="97" t="s">
        <v>24</v>
      </c>
      <c r="D241" s="98" t="s">
        <v>25</v>
      </c>
      <c r="E241" s="97"/>
      <c r="F241" s="447" t="s">
        <v>223</v>
      </c>
      <c r="G241" s="448" t="s">
        <v>221</v>
      </c>
      <c r="H241" s="447" t="s">
        <v>223</v>
      </c>
      <c r="I241" s="448" t="s">
        <v>221</v>
      </c>
      <c r="J241" s="447" t="s">
        <v>223</v>
      </c>
      <c r="K241" s="448" t="s">
        <v>221</v>
      </c>
      <c r="L241" s="77"/>
      <c r="M241" s="910" t="s">
        <v>96</v>
      </c>
      <c r="N241" s="911"/>
      <c r="O241" s="912"/>
      <c r="P241" s="187" t="s">
        <v>25</v>
      </c>
    </row>
    <row r="242" spans="2:16" ht="15" customHeight="1">
      <c r="B242" s="188" t="s">
        <v>12</v>
      </c>
      <c r="C242" s="160" t="s">
        <v>79</v>
      </c>
      <c r="D242" s="161" t="s">
        <v>12</v>
      </c>
      <c r="E242" s="97"/>
      <c r="F242" s="100" t="str">
        <f>$F$10</f>
        <v>kW*Yrs</v>
      </c>
      <c r="G242" s="99" t="str">
        <f>$G$10</f>
        <v>kWh</v>
      </c>
      <c r="H242" s="100" t="str">
        <f>$H$10</f>
        <v>kW*Yrs</v>
      </c>
      <c r="I242" s="99" t="str">
        <f>$I$10</f>
        <v>kWh</v>
      </c>
      <c r="J242" s="101" t="str">
        <f>$J$10</f>
        <v>kW*Yrs</v>
      </c>
      <c r="K242" s="102" t="str">
        <f>$K$10</f>
        <v>kWh</v>
      </c>
      <c r="L242" s="103"/>
      <c r="M242" s="162" t="s">
        <v>53</v>
      </c>
      <c r="N242" s="163" t="s">
        <v>24</v>
      </c>
      <c r="O242" s="163" t="s">
        <v>83</v>
      </c>
      <c r="P242" s="189" t="s">
        <v>29</v>
      </c>
    </row>
    <row r="243" spans="2:16" ht="15" customHeight="1">
      <c r="B243" s="190">
        <f ca="1">INDIRECT("A2!"&amp;"F"&amp;VLOOKUP("Budget",'A2'!$M$3:$N$6,2,FALSE)+Q233)</f>
        <v>0</v>
      </c>
      <c r="C243" s="164">
        <f ca="1">INDIRECT("A2!"&amp;"G"&amp;VLOOKUP("Budget",'A2'!$M$3:$N$6,2,FALSE)+Q233)</f>
        <v>0</v>
      </c>
      <c r="D243" s="165" t="str">
        <f ca="1">IF(ISERROR(C243/B243),"-",(C243/B243))</f>
        <v>-</v>
      </c>
      <c r="E243" s="166"/>
      <c r="F243" s="167">
        <f ca="1">INDIRECT("A2!"&amp;"F"&amp;VLOOKUP("Demand",'A2'!$M$3:$N$6,2,FALSE)+Q233)</f>
        <v>0</v>
      </c>
      <c r="G243" s="168">
        <f ca="1">INDIRECT("A2!"&amp;"F"&amp;VLOOKUP("Energy",'A2'!$M$3:$N$6,2,FALSE)+Q233)</f>
        <v>0</v>
      </c>
      <c r="H243" s="167">
        <f ca="1">INDIRECT("A2!"&amp;"G"&amp;VLOOKUP("Demand",'A2'!$M$3:$N$6,2,FALSE)+Q233)</f>
        <v>0</v>
      </c>
      <c r="I243" s="168">
        <f ca="1">INDIRECT("A2!"&amp;"G"&amp;VLOOKUP("Energy",'A2'!$M$3:$N$6,2,FALSE)+Q233)</f>
        <v>0</v>
      </c>
      <c r="J243" s="169" t="str">
        <f ca="1">IF(ISERROR(H243/F243),"-",(H243/F243))</f>
        <v>-</v>
      </c>
      <c r="K243" s="170" t="str">
        <f ca="1">IF(ISERROR(I243/G243),"-",(I243/G243))</f>
        <v>-</v>
      </c>
      <c r="L243" s="171"/>
      <c r="M243" s="172">
        <f ca="1">INDIRECT("A2!"&amp;"F"&amp;VLOOKUP("Participant",'A2'!$M$3:$N$6,2,FALSE)+Q233)</f>
        <v>0</v>
      </c>
      <c r="N243" s="172">
        <f ca="1">INDIRECT("A2!"&amp;"G"&amp;VLOOKUP("Participant",'A2'!$M$3:$N$6,2,FALSE)+Q233)</f>
        <v>0</v>
      </c>
      <c r="O243" s="172">
        <f ca="1">INDIRECT("A2!"&amp;"H"&amp;VLOOKUP("Participant",'A2'!$M$3:$N$6,2,FALSE)+Q233)</f>
        <v>0</v>
      </c>
      <c r="P243" s="191" t="str">
        <f ca="1">IF(ISERROR(N243/M243),"-",(N243/M243))</f>
        <v>-</v>
      </c>
    </row>
    <row r="244" spans="2:16" ht="15" customHeight="1">
      <c r="B244" s="192"/>
      <c r="C244" s="37"/>
      <c r="D244" s="37"/>
      <c r="E244" s="37"/>
      <c r="F244" s="37"/>
      <c r="G244" s="37"/>
      <c r="H244" s="37"/>
      <c r="I244" s="37"/>
      <c r="J244" s="37"/>
      <c r="K244" s="37"/>
      <c r="L244" s="37"/>
      <c r="M244" s="37"/>
      <c r="N244" s="77"/>
      <c r="O244" s="77"/>
      <c r="P244" s="193"/>
    </row>
    <row r="245" spans="2:16" ht="15" customHeight="1">
      <c r="B245" s="913">
        <f>$B$18</f>
        <v>2010</v>
      </c>
      <c r="C245" s="914"/>
      <c r="D245" s="96"/>
      <c r="E245" s="77"/>
      <c r="F245" s="907" t="s">
        <v>77</v>
      </c>
      <c r="G245" s="909"/>
      <c r="H245" s="907" t="s">
        <v>75</v>
      </c>
      <c r="I245" s="909"/>
      <c r="J245" s="907" t="s">
        <v>78</v>
      </c>
      <c r="K245" s="909"/>
      <c r="L245" s="77"/>
      <c r="M245" s="907">
        <f>B245</f>
        <v>2010</v>
      </c>
      <c r="N245" s="908"/>
      <c r="O245" s="909"/>
      <c r="P245" s="185"/>
    </row>
    <row r="246" spans="2:16" ht="15" customHeight="1">
      <c r="B246" s="186" t="s">
        <v>76</v>
      </c>
      <c r="C246" s="97" t="s">
        <v>24</v>
      </c>
      <c r="D246" s="98" t="s">
        <v>25</v>
      </c>
      <c r="E246" s="97"/>
      <c r="F246" s="447" t="s">
        <v>223</v>
      </c>
      <c r="G246" s="448" t="s">
        <v>221</v>
      </c>
      <c r="H246" s="447" t="s">
        <v>223</v>
      </c>
      <c r="I246" s="448" t="s">
        <v>221</v>
      </c>
      <c r="J246" s="447" t="s">
        <v>223</v>
      </c>
      <c r="K246" s="448" t="s">
        <v>221</v>
      </c>
      <c r="L246" s="77"/>
      <c r="M246" s="910" t="s">
        <v>96</v>
      </c>
      <c r="N246" s="911"/>
      <c r="O246" s="912"/>
      <c r="P246" s="187" t="s">
        <v>25</v>
      </c>
    </row>
    <row r="247" spans="2:16" ht="15" customHeight="1">
      <c r="B247" s="188" t="s">
        <v>12</v>
      </c>
      <c r="C247" s="160" t="s">
        <v>79</v>
      </c>
      <c r="D247" s="161" t="s">
        <v>12</v>
      </c>
      <c r="E247" s="97"/>
      <c r="F247" s="100" t="str">
        <f>$F$10</f>
        <v>kW*Yrs</v>
      </c>
      <c r="G247" s="99" t="str">
        <f>$G$10</f>
        <v>kWh</v>
      </c>
      <c r="H247" s="100" t="str">
        <f>$H$10</f>
        <v>kW*Yrs</v>
      </c>
      <c r="I247" s="99" t="str">
        <f>$I$10</f>
        <v>kWh</v>
      </c>
      <c r="J247" s="101" t="str">
        <f>$J$10</f>
        <v>kW*Yrs</v>
      </c>
      <c r="K247" s="102" t="str">
        <f>$K$10</f>
        <v>kWh</v>
      </c>
      <c r="L247" s="103"/>
      <c r="M247" s="162" t="s">
        <v>53</v>
      </c>
      <c r="N247" s="163" t="s">
        <v>24</v>
      </c>
      <c r="O247" s="163" t="s">
        <v>83</v>
      </c>
      <c r="P247" s="189" t="s">
        <v>29</v>
      </c>
    </row>
    <row r="248" spans="2:16" ht="15" customHeight="1">
      <c r="B248" s="190">
        <f ca="1">INDIRECT("A2!"&amp;"H"&amp;VLOOKUP("Budget",'A2'!$M$3:$N$6,2,FALSE)+Q233)</f>
        <v>0</v>
      </c>
      <c r="C248" s="164">
        <f ca="1">INDIRECT("A2!"&amp;"I"&amp;VLOOKUP("Budget",'A2'!$M$3:$N$6,2,FALSE)+Q233)</f>
        <v>0</v>
      </c>
      <c r="D248" s="165" t="str">
        <f ca="1">IF(ISERROR(C248/B248),"-",(C248/B248))</f>
        <v>-</v>
      </c>
      <c r="E248" s="166"/>
      <c r="F248" s="167">
        <f ca="1">INDIRECT("A2!"&amp;"H"&amp;VLOOKUP("Demand",'A2'!$M$3:$N$6,2,FALSE)+Q233)</f>
        <v>0</v>
      </c>
      <c r="G248" s="168">
        <f ca="1">INDIRECT("A2!"&amp;"H"&amp;VLOOKUP("Energy",'A2'!$M$3:$N$6,2,FALSE)+Q233)</f>
        <v>0</v>
      </c>
      <c r="H248" s="167">
        <f ca="1">INDIRECT("A2!"&amp;"I"&amp;VLOOKUP("Demand",'A2'!$M$3:$N$6,2,FALSE)+Q233)</f>
        <v>0</v>
      </c>
      <c r="I248" s="168">
        <f ca="1">INDIRECT("A2!"&amp;"I"&amp;VLOOKUP("Energy",'A2'!$M$3:$N$6,2,FALSE)+Q233)</f>
        <v>0</v>
      </c>
      <c r="J248" s="169" t="str">
        <f ca="1">IF(ISERROR(H248/F248),"-",(H248/F248))</f>
        <v>-</v>
      </c>
      <c r="K248" s="170" t="str">
        <f ca="1">IF(ISERROR(I248/G248),"-",(I248/G248))</f>
        <v>-</v>
      </c>
      <c r="L248" s="171"/>
      <c r="M248" s="172">
        <f ca="1">INDIRECT("A2!"&amp;"I"&amp;VLOOKUP("Participant",'A2'!$M$3:$N$6,2,FALSE)+Q233)</f>
        <v>0</v>
      </c>
      <c r="N248" s="172">
        <f ca="1">INDIRECT("A2!"&amp;"J"&amp;VLOOKUP("Participant",'A2'!$M$3:$N$6,2,FALSE)+Q233)</f>
        <v>0</v>
      </c>
      <c r="O248" s="172">
        <f ca="1">INDIRECT("A2!"&amp;"K"&amp;VLOOKUP("Participant",'A2'!$M$3:$N$6,2,FALSE)+Q233)</f>
        <v>0</v>
      </c>
      <c r="P248" s="191" t="str">
        <f ca="1">IF(ISERROR(N248/M248),"-",(N248/M248))</f>
        <v>-</v>
      </c>
    </row>
    <row r="249" spans="2:16" ht="15" customHeight="1">
      <c r="B249" s="194"/>
      <c r="C249" s="22"/>
      <c r="D249" s="22"/>
      <c r="E249" s="42"/>
      <c r="F249" s="22"/>
      <c r="G249" s="22"/>
      <c r="H249" s="22"/>
      <c r="I249" s="22"/>
      <c r="J249" s="22"/>
      <c r="K249" s="22"/>
      <c r="L249" s="42"/>
      <c r="M249" s="22"/>
      <c r="N249" s="22"/>
      <c r="O249" s="22"/>
      <c r="P249" s="184"/>
    </row>
    <row r="250" spans="2:16" ht="15" customHeight="1">
      <c r="B250" s="915" t="s">
        <v>80</v>
      </c>
      <c r="C250" s="916"/>
      <c r="D250" s="96"/>
      <c r="E250" s="77"/>
      <c r="F250" s="907" t="s">
        <v>77</v>
      </c>
      <c r="G250" s="909"/>
      <c r="H250" s="907" t="s">
        <v>75</v>
      </c>
      <c r="I250" s="909"/>
      <c r="J250" s="907" t="s">
        <v>78</v>
      </c>
      <c r="K250" s="909"/>
      <c r="L250" s="77"/>
      <c r="M250" s="907" t="str">
        <f>B235&amp;" - "&amp;B245</f>
        <v>2008 - 2010</v>
      </c>
      <c r="N250" s="908"/>
      <c r="O250" s="909"/>
      <c r="P250" s="185"/>
    </row>
    <row r="251" spans="2:16" ht="15" customHeight="1">
      <c r="B251" s="186" t="s">
        <v>76</v>
      </c>
      <c r="C251" s="97" t="s">
        <v>24</v>
      </c>
      <c r="D251" s="98" t="s">
        <v>25</v>
      </c>
      <c r="E251" s="97"/>
      <c r="F251" s="447" t="s">
        <v>223</v>
      </c>
      <c r="G251" s="448" t="s">
        <v>221</v>
      </c>
      <c r="H251" s="447" t="s">
        <v>223</v>
      </c>
      <c r="I251" s="448" t="s">
        <v>221</v>
      </c>
      <c r="J251" s="447" t="s">
        <v>223</v>
      </c>
      <c r="K251" s="448" t="s">
        <v>221</v>
      </c>
      <c r="L251" s="77"/>
      <c r="M251" s="910" t="s">
        <v>96</v>
      </c>
      <c r="N251" s="911"/>
      <c r="O251" s="912"/>
      <c r="P251" s="187" t="s">
        <v>25</v>
      </c>
    </row>
    <row r="252" spans="2:16" ht="15" customHeight="1">
      <c r="B252" s="188" t="s">
        <v>12</v>
      </c>
      <c r="C252" s="160" t="s">
        <v>79</v>
      </c>
      <c r="D252" s="161" t="s">
        <v>12</v>
      </c>
      <c r="E252" s="97"/>
      <c r="F252" s="100" t="str">
        <f>$F$10</f>
        <v>kW*Yrs</v>
      </c>
      <c r="G252" s="99" t="str">
        <f>$G$10</f>
        <v>kWh</v>
      </c>
      <c r="H252" s="100" t="str">
        <f>$H$10</f>
        <v>kW*Yrs</v>
      </c>
      <c r="I252" s="99" t="str">
        <f>$I$10</f>
        <v>kWh</v>
      </c>
      <c r="J252" s="101" t="str">
        <f>$J$10</f>
        <v>kW*Yrs</v>
      </c>
      <c r="K252" s="102" t="str">
        <f>$K$10</f>
        <v>kWh</v>
      </c>
      <c r="L252" s="103"/>
      <c r="M252" s="162" t="s">
        <v>53</v>
      </c>
      <c r="N252" s="163" t="s">
        <v>24</v>
      </c>
      <c r="O252" s="163" t="s">
        <v>83</v>
      </c>
      <c r="P252" s="189" t="s">
        <v>29</v>
      </c>
    </row>
    <row r="253" spans="2:16" ht="15" customHeight="1">
      <c r="B253" s="466">
        <f ca="1">IF(ISERROR(AVERAGE(B238,B243,B248)),"-",AVERAGE(B238,B243,B248))</f>
        <v>0</v>
      </c>
      <c r="C253" s="164">
        <f ca="1">IF(ISERROR(AVERAGE(C238,C243,C248)),"-",AVERAGE(C238,C243,C248))</f>
        <v>0</v>
      </c>
      <c r="D253" s="165" t="str">
        <f ca="1">IF(ISERROR(C253/B253),"-",(C253/B253))</f>
        <v>-</v>
      </c>
      <c r="E253" s="166"/>
      <c r="F253" s="167">
        <f ca="1">IF(ISERROR(AVERAGE(F238,F243,F248)),"-",AVERAGE(F238,F243,F248))</f>
        <v>0</v>
      </c>
      <c r="G253" s="168">
        <f ca="1">IF(ISERROR(AVERAGE(G238,G243,G248)),"-",AVERAGE(G238,G243,G248))</f>
        <v>0</v>
      </c>
      <c r="H253" s="167">
        <f ca="1">IF(ISERROR(AVERAGE(H238,H243,H248)),"-",AVERAGE(H238,H243,H248))</f>
        <v>0</v>
      </c>
      <c r="I253" s="168">
        <f ca="1">IF(ISERROR(AVERAGE(I238,I243,I248)),"-",AVERAGE(I238,I243,I248))</f>
        <v>0</v>
      </c>
      <c r="J253" s="169" t="str">
        <f ca="1">IF(ISERROR(H253/F253),"-",(H253/F253))</f>
        <v>-</v>
      </c>
      <c r="K253" s="170" t="str">
        <f ca="1">IF(ISERROR(I253/G253),"-",(I253/G253))</f>
        <v>-</v>
      </c>
      <c r="L253" s="171"/>
      <c r="M253" s="172">
        <f ca="1">IF(ISERROR(AVERAGE(M238,M243,M248)),"-",AVERAGE(M238,M243,M248))</f>
        <v>0</v>
      </c>
      <c r="N253" s="172">
        <f ca="1">IF(ISERROR(AVERAGE(N238,N243,N248)),"-",AVERAGE(N238,N243,N248))</f>
        <v>0</v>
      </c>
      <c r="O253" s="172">
        <f ca="1">IF(ISERROR(AVERAGE(O238,O243,O248)),"-",AVERAGE(O238,O243,O248))</f>
        <v>0</v>
      </c>
      <c r="P253" s="467" t="str">
        <f ca="1">IF(ISERROR(N253/M253),"-",(N253/M253))</f>
        <v>-</v>
      </c>
    </row>
    <row r="254" spans="2:16" ht="15" customHeight="1">
      <c r="B254" s="200"/>
      <c r="C254" s="22"/>
      <c r="D254" s="22"/>
      <c r="E254" s="42"/>
      <c r="F254" s="22"/>
      <c r="G254" s="22"/>
      <c r="H254" s="22"/>
      <c r="I254" s="22"/>
      <c r="J254" s="22"/>
      <c r="K254" s="22"/>
      <c r="L254" s="42"/>
      <c r="M254" s="22"/>
      <c r="N254" s="22"/>
      <c r="O254" s="22"/>
      <c r="P254" s="460"/>
    </row>
    <row r="255" spans="2:16" ht="15" customHeight="1" thickBot="1">
      <c r="B255" s="545" t="str">
        <f>$B$28</f>
        <v>*Lifetime Savings</v>
      </c>
      <c r="C255" s="209"/>
      <c r="D255" s="209"/>
      <c r="E255" s="470"/>
      <c r="F255" s="209"/>
      <c r="G255" s="209"/>
      <c r="H255" s="209"/>
      <c r="I255" s="209"/>
      <c r="J255" s="209"/>
      <c r="K255" s="209"/>
      <c r="L255" s="470"/>
      <c r="M255" s="209"/>
      <c r="N255" s="209"/>
      <c r="O255" s="209"/>
      <c r="P255" s="471"/>
    </row>
    <row r="257" spans="2:17" ht="15" customHeight="1" thickBot="1"/>
    <row r="258" spans="2:17" ht="15" customHeight="1">
      <c r="B258" s="917" t="str">
        <f ca="1">'A2'!A19</f>
        <v>Program 11</v>
      </c>
      <c r="C258" s="918"/>
      <c r="D258" s="918"/>
      <c r="E258" s="918"/>
      <c r="F258" s="918"/>
      <c r="G258" s="918"/>
      <c r="H258" s="918"/>
      <c r="I258" s="918"/>
      <c r="J258" s="918"/>
      <c r="K258" s="918"/>
      <c r="L258" s="918"/>
      <c r="M258" s="918"/>
      <c r="N258" s="918"/>
      <c r="O258" s="918"/>
      <c r="P258" s="919"/>
      <c r="Q258" s="76">
        <v>11</v>
      </c>
    </row>
    <row r="259" spans="2:17" ht="15" customHeight="1">
      <c r="B259" s="183"/>
      <c r="C259" s="94"/>
      <c r="D259" s="94"/>
      <c r="E259" s="95"/>
      <c r="F259" s="94"/>
      <c r="G259" s="94"/>
      <c r="H259" s="94"/>
      <c r="I259" s="94"/>
      <c r="J259" s="94"/>
      <c r="K259" s="94"/>
      <c r="L259" s="95"/>
      <c r="M259" s="94"/>
      <c r="N259" s="23"/>
      <c r="O259" s="23"/>
      <c r="P259" s="184"/>
    </row>
    <row r="260" spans="2:17" ht="15" customHeight="1">
      <c r="B260" s="913">
        <f>$B$8</f>
        <v>2008</v>
      </c>
      <c r="C260" s="914"/>
      <c r="D260" s="96"/>
      <c r="E260" s="77"/>
      <c r="F260" s="907" t="s">
        <v>77</v>
      </c>
      <c r="G260" s="909"/>
      <c r="H260" s="907" t="s">
        <v>75</v>
      </c>
      <c r="I260" s="909"/>
      <c r="J260" s="907" t="s">
        <v>78</v>
      </c>
      <c r="K260" s="909"/>
      <c r="L260" s="77"/>
      <c r="M260" s="907">
        <f>B260</f>
        <v>2008</v>
      </c>
      <c r="N260" s="908"/>
      <c r="O260" s="909"/>
      <c r="P260" s="185"/>
    </row>
    <row r="261" spans="2:17" ht="15" customHeight="1">
      <c r="B261" s="186" t="s">
        <v>76</v>
      </c>
      <c r="C261" s="97" t="s">
        <v>24</v>
      </c>
      <c r="D261" s="98" t="s">
        <v>25</v>
      </c>
      <c r="E261" s="97"/>
      <c r="F261" s="447" t="s">
        <v>223</v>
      </c>
      <c r="G261" s="448" t="s">
        <v>221</v>
      </c>
      <c r="H261" s="447" t="s">
        <v>223</v>
      </c>
      <c r="I261" s="448" t="s">
        <v>221</v>
      </c>
      <c r="J261" s="447" t="s">
        <v>223</v>
      </c>
      <c r="K261" s="448" t="s">
        <v>221</v>
      </c>
      <c r="L261" s="77"/>
      <c r="M261" s="910" t="s">
        <v>96</v>
      </c>
      <c r="N261" s="911"/>
      <c r="O261" s="912"/>
      <c r="P261" s="187" t="s">
        <v>25</v>
      </c>
    </row>
    <row r="262" spans="2:17" ht="15" customHeight="1">
      <c r="B262" s="188" t="s">
        <v>12</v>
      </c>
      <c r="C262" s="160" t="s">
        <v>79</v>
      </c>
      <c r="D262" s="161" t="s">
        <v>12</v>
      </c>
      <c r="E262" s="97"/>
      <c r="F262" s="100" t="str">
        <f>$F$10</f>
        <v>kW*Yrs</v>
      </c>
      <c r="G262" s="99" t="str">
        <f>$G$10</f>
        <v>kWh</v>
      </c>
      <c r="H262" s="100" t="str">
        <f>$H$10</f>
        <v>kW*Yrs</v>
      </c>
      <c r="I262" s="99" t="str">
        <f>$I$10</f>
        <v>kWh</v>
      </c>
      <c r="J262" s="101" t="str">
        <f>$J$10</f>
        <v>kW*Yrs</v>
      </c>
      <c r="K262" s="102" t="str">
        <f>$K$10</f>
        <v>kWh</v>
      </c>
      <c r="L262" s="103"/>
      <c r="M262" s="162" t="s">
        <v>53</v>
      </c>
      <c r="N262" s="163" t="s">
        <v>24</v>
      </c>
      <c r="O262" s="163" t="s">
        <v>83</v>
      </c>
      <c r="P262" s="189" t="s">
        <v>29</v>
      </c>
    </row>
    <row r="263" spans="2:17" ht="15" customHeight="1">
      <c r="B263" s="190">
        <f ca="1">INDIRECT("A2!"&amp;"D"&amp;VLOOKUP("Budget",'A2'!$M$3:$N$6,2,FALSE)+Q258)</f>
        <v>0</v>
      </c>
      <c r="C263" s="164">
        <f ca="1">INDIRECT("A2!"&amp;"E"&amp;VLOOKUP("Budget",'A2'!$M$3:$N$6,2,FALSE)+Q258)</f>
        <v>0</v>
      </c>
      <c r="D263" s="165" t="str">
        <f ca="1">IF(ISERROR(C263/B263),"-",(C263/B263))</f>
        <v>-</v>
      </c>
      <c r="E263" s="166"/>
      <c r="F263" s="167">
        <f ca="1">INDIRECT("A2!"&amp;"D"&amp;VLOOKUP("Demand",'A2'!$M$3:$N$6,2,FALSE)+Q258)</f>
        <v>0</v>
      </c>
      <c r="G263" s="168">
        <f ca="1">INDIRECT("A2!"&amp;"D"&amp;VLOOKUP("Energy",'A2'!$M$3:$N$6,2,FALSE)+Q258)</f>
        <v>0</v>
      </c>
      <c r="H263" s="167">
        <f ca="1">INDIRECT("A2!"&amp;"E"&amp;VLOOKUP("Demand",'A2'!$M$3:$N$6,2,FALSE)+Q258)</f>
        <v>0</v>
      </c>
      <c r="I263" s="168">
        <f ca="1">INDIRECT("A2!"&amp;"E"&amp;VLOOKUP("Energy",'A2'!$M$3:$N$6,2,FALSE)+Q258)</f>
        <v>0</v>
      </c>
      <c r="J263" s="169" t="str">
        <f ca="1">IF(ISERROR(H263/F263),"-",(H263/F263))</f>
        <v>-</v>
      </c>
      <c r="K263" s="170" t="str">
        <f ca="1">IF(ISERROR(I263/G263),"-",(I263/G263))</f>
        <v>-</v>
      </c>
      <c r="L263" s="171"/>
      <c r="M263" s="172">
        <f ca="1">INDIRECT("A2!"&amp;"C"&amp;VLOOKUP("Participant",'A2'!$M$3:$N$6,2,FALSE)+Q258)</f>
        <v>0</v>
      </c>
      <c r="N263" s="172">
        <f ca="1">INDIRECT("A2!"&amp;"D"&amp;VLOOKUP("Participant",'A2'!$M$3:$N$6,2,FALSE)+Q258)</f>
        <v>0</v>
      </c>
      <c r="O263" s="172">
        <f ca="1">INDIRECT("A2!"&amp;"E"&amp;VLOOKUP("Participant",'A2'!$M$3:$N$6,2,FALSE)+Q258)</f>
        <v>0</v>
      </c>
      <c r="P263" s="191" t="str">
        <f ca="1">IF(ISERROR(N263/M263),"-",(N263/M263))</f>
        <v>-</v>
      </c>
    </row>
    <row r="264" spans="2:17" ht="15" customHeight="1">
      <c r="B264" s="183"/>
      <c r="C264" s="94"/>
      <c r="D264" s="94"/>
      <c r="E264" s="37"/>
      <c r="F264" s="94"/>
      <c r="G264" s="94"/>
      <c r="H264" s="94"/>
      <c r="I264" s="94"/>
      <c r="J264" s="94"/>
      <c r="K264" s="94"/>
      <c r="L264" s="37"/>
      <c r="M264" s="94"/>
      <c r="N264" s="23"/>
      <c r="O264" s="23"/>
      <c r="P264" s="184"/>
    </row>
    <row r="265" spans="2:17" ht="15" customHeight="1">
      <c r="B265" s="913">
        <f>$B$13</f>
        <v>2009</v>
      </c>
      <c r="C265" s="914"/>
      <c r="D265" s="96"/>
      <c r="E265" s="77"/>
      <c r="F265" s="907" t="s">
        <v>77</v>
      </c>
      <c r="G265" s="909"/>
      <c r="H265" s="907" t="s">
        <v>75</v>
      </c>
      <c r="I265" s="909"/>
      <c r="J265" s="907" t="s">
        <v>78</v>
      </c>
      <c r="K265" s="909"/>
      <c r="L265" s="77"/>
      <c r="M265" s="907">
        <f>B265</f>
        <v>2009</v>
      </c>
      <c r="N265" s="908"/>
      <c r="O265" s="909"/>
      <c r="P265" s="185"/>
    </row>
    <row r="266" spans="2:17" ht="15" customHeight="1">
      <c r="B266" s="186" t="s">
        <v>76</v>
      </c>
      <c r="C266" s="97" t="s">
        <v>24</v>
      </c>
      <c r="D266" s="98" t="s">
        <v>25</v>
      </c>
      <c r="E266" s="97"/>
      <c r="F266" s="447" t="s">
        <v>223</v>
      </c>
      <c r="G266" s="448" t="s">
        <v>221</v>
      </c>
      <c r="H266" s="447" t="s">
        <v>223</v>
      </c>
      <c r="I266" s="448" t="s">
        <v>221</v>
      </c>
      <c r="J266" s="447" t="s">
        <v>223</v>
      </c>
      <c r="K266" s="448" t="s">
        <v>221</v>
      </c>
      <c r="L266" s="77"/>
      <c r="M266" s="910" t="s">
        <v>96</v>
      </c>
      <c r="N266" s="911"/>
      <c r="O266" s="912"/>
      <c r="P266" s="187" t="s">
        <v>25</v>
      </c>
    </row>
    <row r="267" spans="2:17" ht="15" customHeight="1">
      <c r="B267" s="188" t="s">
        <v>12</v>
      </c>
      <c r="C267" s="160" t="s">
        <v>79</v>
      </c>
      <c r="D267" s="161" t="s">
        <v>12</v>
      </c>
      <c r="E267" s="97"/>
      <c r="F267" s="100" t="str">
        <f>$F$10</f>
        <v>kW*Yrs</v>
      </c>
      <c r="G267" s="99" t="str">
        <f>$G$10</f>
        <v>kWh</v>
      </c>
      <c r="H267" s="100" t="str">
        <f>$H$10</f>
        <v>kW*Yrs</v>
      </c>
      <c r="I267" s="99" t="str">
        <f>$I$10</f>
        <v>kWh</v>
      </c>
      <c r="J267" s="101" t="str">
        <f>$J$10</f>
        <v>kW*Yrs</v>
      </c>
      <c r="K267" s="102" t="str">
        <f>$K$10</f>
        <v>kWh</v>
      </c>
      <c r="L267" s="103"/>
      <c r="M267" s="162" t="s">
        <v>53</v>
      </c>
      <c r="N267" s="163" t="s">
        <v>24</v>
      </c>
      <c r="O267" s="163" t="s">
        <v>83</v>
      </c>
      <c r="P267" s="189" t="s">
        <v>29</v>
      </c>
    </row>
    <row r="268" spans="2:17" ht="15" customHeight="1">
      <c r="B268" s="190">
        <f ca="1">INDIRECT("A2!"&amp;"F"&amp;VLOOKUP("Budget",'A2'!$M$3:$N$6,2,FALSE)+Q258)</f>
        <v>0</v>
      </c>
      <c r="C268" s="164">
        <f ca="1">INDIRECT("A2!"&amp;"G"&amp;VLOOKUP("Budget",'A2'!$M$3:$N$6,2,FALSE)+Q258)</f>
        <v>0</v>
      </c>
      <c r="D268" s="165" t="str">
        <f ca="1">IF(ISERROR(C268/B268),"-",(C268/B268))</f>
        <v>-</v>
      </c>
      <c r="E268" s="166"/>
      <c r="F268" s="167">
        <f ca="1">INDIRECT("A2!"&amp;"F"&amp;VLOOKUP("Demand",'A2'!$M$3:$N$6,2,FALSE)+Q258)</f>
        <v>0</v>
      </c>
      <c r="G268" s="168">
        <f ca="1">INDIRECT("A2!"&amp;"F"&amp;VLOOKUP("Energy",'A2'!$M$3:$N$6,2,FALSE)+Q258)</f>
        <v>0</v>
      </c>
      <c r="H268" s="167">
        <f ca="1">INDIRECT("A2!"&amp;"G"&amp;VLOOKUP("Demand",'A2'!$M$3:$N$6,2,FALSE)+Q258)</f>
        <v>0</v>
      </c>
      <c r="I268" s="168">
        <f ca="1">INDIRECT("A2!"&amp;"G"&amp;VLOOKUP("Energy",'A2'!$M$3:$N$6,2,FALSE)+Q258)</f>
        <v>0</v>
      </c>
      <c r="J268" s="169" t="str">
        <f ca="1">IF(ISERROR(H268/F268),"-",(H268/F268))</f>
        <v>-</v>
      </c>
      <c r="K268" s="170" t="str">
        <f ca="1">IF(ISERROR(I268/G268),"-",(I268/G268))</f>
        <v>-</v>
      </c>
      <c r="L268" s="171"/>
      <c r="M268" s="172">
        <f ca="1">INDIRECT("A2!"&amp;"F"&amp;VLOOKUP("Participant",'A2'!$M$3:$N$6,2,FALSE)+Q258)</f>
        <v>0</v>
      </c>
      <c r="N268" s="172">
        <f ca="1">INDIRECT("A2!"&amp;"G"&amp;VLOOKUP("Participant",'A2'!$M$3:$N$6,2,FALSE)+Q258)</f>
        <v>0</v>
      </c>
      <c r="O268" s="172">
        <f ca="1">INDIRECT("A2!"&amp;"H"&amp;VLOOKUP("Participant",'A2'!$M$3:$N$6,2,FALSE)+Q258)</f>
        <v>0</v>
      </c>
      <c r="P268" s="191" t="str">
        <f ca="1">IF(ISERROR(N268/M268),"-",(N268/M268))</f>
        <v>-</v>
      </c>
    </row>
    <row r="269" spans="2:17" ht="15" customHeight="1">
      <c r="B269" s="192"/>
      <c r="C269" s="37"/>
      <c r="D269" s="37"/>
      <c r="E269" s="37"/>
      <c r="F269" s="37"/>
      <c r="G269" s="37"/>
      <c r="H269" s="37"/>
      <c r="I269" s="37"/>
      <c r="J269" s="37"/>
      <c r="K269" s="37"/>
      <c r="L269" s="37"/>
      <c r="M269" s="37"/>
      <c r="N269" s="77"/>
      <c r="O269" s="77"/>
      <c r="P269" s="193"/>
    </row>
    <row r="270" spans="2:17" ht="15" customHeight="1">
      <c r="B270" s="913">
        <f>$B$18</f>
        <v>2010</v>
      </c>
      <c r="C270" s="914"/>
      <c r="D270" s="96"/>
      <c r="E270" s="77"/>
      <c r="F270" s="907" t="s">
        <v>77</v>
      </c>
      <c r="G270" s="909"/>
      <c r="H270" s="907" t="s">
        <v>75</v>
      </c>
      <c r="I270" s="909"/>
      <c r="J270" s="907" t="s">
        <v>78</v>
      </c>
      <c r="K270" s="909"/>
      <c r="L270" s="77"/>
      <c r="M270" s="907">
        <f>B270</f>
        <v>2010</v>
      </c>
      <c r="N270" s="908"/>
      <c r="O270" s="909"/>
      <c r="P270" s="185"/>
    </row>
    <row r="271" spans="2:17" ht="15" customHeight="1">
      <c r="B271" s="186" t="s">
        <v>76</v>
      </c>
      <c r="C271" s="97" t="s">
        <v>24</v>
      </c>
      <c r="D271" s="98" t="s">
        <v>25</v>
      </c>
      <c r="E271" s="97"/>
      <c r="F271" s="447" t="s">
        <v>223</v>
      </c>
      <c r="G271" s="448" t="s">
        <v>221</v>
      </c>
      <c r="H271" s="447" t="s">
        <v>223</v>
      </c>
      <c r="I271" s="448" t="s">
        <v>221</v>
      </c>
      <c r="J271" s="447" t="s">
        <v>223</v>
      </c>
      <c r="K271" s="448" t="s">
        <v>221</v>
      </c>
      <c r="L271" s="77"/>
      <c r="M271" s="910" t="s">
        <v>96</v>
      </c>
      <c r="N271" s="911"/>
      <c r="O271" s="912"/>
      <c r="P271" s="187" t="s">
        <v>25</v>
      </c>
    </row>
    <row r="272" spans="2:17" ht="15" customHeight="1">
      <c r="B272" s="188" t="s">
        <v>12</v>
      </c>
      <c r="C272" s="160" t="s">
        <v>79</v>
      </c>
      <c r="D272" s="161" t="s">
        <v>12</v>
      </c>
      <c r="E272" s="97"/>
      <c r="F272" s="100" t="str">
        <f>$F$10</f>
        <v>kW*Yrs</v>
      </c>
      <c r="G272" s="99" t="str">
        <f>$G$10</f>
        <v>kWh</v>
      </c>
      <c r="H272" s="100" t="str">
        <f>$H$10</f>
        <v>kW*Yrs</v>
      </c>
      <c r="I272" s="99" t="str">
        <f>$I$10</f>
        <v>kWh</v>
      </c>
      <c r="J272" s="101" t="str">
        <f>$J$10</f>
        <v>kW*Yrs</v>
      </c>
      <c r="K272" s="102" t="str">
        <f>$K$10</f>
        <v>kWh</v>
      </c>
      <c r="L272" s="103"/>
      <c r="M272" s="162" t="s">
        <v>53</v>
      </c>
      <c r="N272" s="163" t="s">
        <v>24</v>
      </c>
      <c r="O272" s="163" t="s">
        <v>83</v>
      </c>
      <c r="P272" s="189" t="s">
        <v>29</v>
      </c>
    </row>
    <row r="273" spans="2:17" ht="15" customHeight="1">
      <c r="B273" s="190">
        <f ca="1">INDIRECT("A2!"&amp;"H"&amp;VLOOKUP("Budget",'A2'!$M$3:$N$6,2,FALSE)+Q258)</f>
        <v>0</v>
      </c>
      <c r="C273" s="164">
        <f ca="1">INDIRECT("A2!"&amp;"I"&amp;VLOOKUP("Budget",'A2'!$M$3:$N$6,2,FALSE)+Q258)</f>
        <v>0</v>
      </c>
      <c r="D273" s="165" t="str">
        <f ca="1">IF(ISERROR(C273/B273),"-",(C273/B273))</f>
        <v>-</v>
      </c>
      <c r="E273" s="166"/>
      <c r="F273" s="167">
        <f ca="1">INDIRECT("A2!"&amp;"H"&amp;VLOOKUP("Demand",'A2'!$M$3:$N$6,2,FALSE)+Q258)</f>
        <v>0</v>
      </c>
      <c r="G273" s="168">
        <f ca="1">INDIRECT("A2!"&amp;"H"&amp;VLOOKUP("Energy",'A2'!$M$3:$N$6,2,FALSE)+Q258)</f>
        <v>0</v>
      </c>
      <c r="H273" s="167">
        <f ca="1">INDIRECT("A2!"&amp;"I"&amp;VLOOKUP("Demand",'A2'!$M$3:$N$6,2,FALSE)+Q258)</f>
        <v>0</v>
      </c>
      <c r="I273" s="168">
        <f ca="1">INDIRECT("A2!"&amp;"I"&amp;VLOOKUP("Energy",'A2'!$M$3:$N$6,2,FALSE)+Q258)</f>
        <v>0</v>
      </c>
      <c r="J273" s="169" t="str">
        <f ca="1">IF(ISERROR(H273/F273),"-",(H273/F273))</f>
        <v>-</v>
      </c>
      <c r="K273" s="170" t="str">
        <f ca="1">IF(ISERROR(I273/G273),"-",(I273/G273))</f>
        <v>-</v>
      </c>
      <c r="L273" s="171"/>
      <c r="M273" s="172">
        <f ca="1">INDIRECT("A2!"&amp;"I"&amp;VLOOKUP("Participant",'A2'!$M$3:$N$6,2,FALSE)+Q258)</f>
        <v>0</v>
      </c>
      <c r="N273" s="172">
        <f ca="1">INDIRECT("A2!"&amp;"J"&amp;VLOOKUP("Participant",'A2'!$M$3:$N$6,2,FALSE)+Q258)</f>
        <v>0</v>
      </c>
      <c r="O273" s="172">
        <f ca="1">INDIRECT("A2!"&amp;"K"&amp;VLOOKUP("Participant",'A2'!$M$3:$N$6,2,FALSE)+Q258)</f>
        <v>0</v>
      </c>
      <c r="P273" s="191" t="str">
        <f ca="1">IF(ISERROR(N273/M273),"-",(N273/M273))</f>
        <v>-</v>
      </c>
    </row>
    <row r="274" spans="2:17" ht="15" customHeight="1">
      <c r="B274" s="194"/>
      <c r="C274" s="22"/>
      <c r="D274" s="22"/>
      <c r="E274" s="42"/>
      <c r="F274" s="22"/>
      <c r="G274" s="22"/>
      <c r="H274" s="22"/>
      <c r="I274" s="22"/>
      <c r="J274" s="22"/>
      <c r="K274" s="22"/>
      <c r="L274" s="42"/>
      <c r="M274" s="22"/>
      <c r="N274" s="22"/>
      <c r="O274" s="22"/>
      <c r="P274" s="184"/>
    </row>
    <row r="275" spans="2:17" ht="15" customHeight="1">
      <c r="B275" s="915" t="s">
        <v>80</v>
      </c>
      <c r="C275" s="916"/>
      <c r="D275" s="96"/>
      <c r="E275" s="77"/>
      <c r="F275" s="907" t="s">
        <v>77</v>
      </c>
      <c r="G275" s="909"/>
      <c r="H275" s="907" t="s">
        <v>75</v>
      </c>
      <c r="I275" s="909"/>
      <c r="J275" s="907" t="s">
        <v>78</v>
      </c>
      <c r="K275" s="909"/>
      <c r="L275" s="77"/>
      <c r="M275" s="907" t="str">
        <f>B260&amp;" - "&amp;B270</f>
        <v>2008 - 2010</v>
      </c>
      <c r="N275" s="908"/>
      <c r="O275" s="909"/>
      <c r="P275" s="185"/>
    </row>
    <row r="276" spans="2:17" ht="15" customHeight="1">
      <c r="B276" s="186" t="s">
        <v>76</v>
      </c>
      <c r="C276" s="97" t="s">
        <v>24</v>
      </c>
      <c r="D276" s="98" t="s">
        <v>25</v>
      </c>
      <c r="E276" s="97"/>
      <c r="F276" s="447" t="s">
        <v>223</v>
      </c>
      <c r="G276" s="448" t="s">
        <v>221</v>
      </c>
      <c r="H276" s="447" t="s">
        <v>223</v>
      </c>
      <c r="I276" s="448" t="s">
        <v>221</v>
      </c>
      <c r="J276" s="447" t="s">
        <v>223</v>
      </c>
      <c r="K276" s="448" t="s">
        <v>221</v>
      </c>
      <c r="L276" s="77"/>
      <c r="M276" s="910" t="s">
        <v>96</v>
      </c>
      <c r="N276" s="911"/>
      <c r="O276" s="912"/>
      <c r="P276" s="187" t="s">
        <v>25</v>
      </c>
    </row>
    <row r="277" spans="2:17" ht="15" customHeight="1">
      <c r="B277" s="188" t="s">
        <v>12</v>
      </c>
      <c r="C277" s="160" t="s">
        <v>79</v>
      </c>
      <c r="D277" s="161" t="s">
        <v>12</v>
      </c>
      <c r="E277" s="97"/>
      <c r="F277" s="100" t="str">
        <f>$F$10</f>
        <v>kW*Yrs</v>
      </c>
      <c r="G277" s="99" t="str">
        <f>$G$10</f>
        <v>kWh</v>
      </c>
      <c r="H277" s="100" t="str">
        <f>$H$10</f>
        <v>kW*Yrs</v>
      </c>
      <c r="I277" s="99" t="str">
        <f>$I$10</f>
        <v>kWh</v>
      </c>
      <c r="J277" s="101" t="str">
        <f>$J$10</f>
        <v>kW*Yrs</v>
      </c>
      <c r="K277" s="102" t="str">
        <f>$K$10</f>
        <v>kWh</v>
      </c>
      <c r="L277" s="103"/>
      <c r="M277" s="162" t="s">
        <v>53</v>
      </c>
      <c r="N277" s="163" t="s">
        <v>24</v>
      </c>
      <c r="O277" s="163" t="s">
        <v>83</v>
      </c>
      <c r="P277" s="189" t="s">
        <v>29</v>
      </c>
    </row>
    <row r="278" spans="2:17" ht="15" customHeight="1">
      <c r="B278" s="466">
        <f ca="1">IF(ISERROR(AVERAGE(B263,B268,B273)),"-",AVERAGE(B263,B268,B273))</f>
        <v>0</v>
      </c>
      <c r="C278" s="164">
        <f ca="1">IF(ISERROR(AVERAGE(C263,C268,C273)),"-",AVERAGE(C263,C268,C273))</f>
        <v>0</v>
      </c>
      <c r="D278" s="165" t="str">
        <f ca="1">IF(ISERROR(C278/B278),"-",(C278/B278))</f>
        <v>-</v>
      </c>
      <c r="E278" s="166"/>
      <c r="F278" s="167">
        <f ca="1">IF(ISERROR(AVERAGE(F263,F268,F273)),"-",AVERAGE(F263,F268,F273))</f>
        <v>0</v>
      </c>
      <c r="G278" s="168">
        <f ca="1">IF(ISERROR(AVERAGE(G263,G268,G273)),"-",AVERAGE(G263,G268,G273))</f>
        <v>0</v>
      </c>
      <c r="H278" s="167">
        <f ca="1">IF(ISERROR(AVERAGE(H263,H268,H273)),"-",AVERAGE(H263,H268,H273))</f>
        <v>0</v>
      </c>
      <c r="I278" s="168">
        <f ca="1">IF(ISERROR(AVERAGE(I263,I268,I273)),"-",AVERAGE(I263,I268,I273))</f>
        <v>0</v>
      </c>
      <c r="J278" s="169" t="str">
        <f ca="1">IF(ISERROR(H278/F278),"-",(H278/F278))</f>
        <v>-</v>
      </c>
      <c r="K278" s="170" t="str">
        <f ca="1">IF(ISERROR(I278/G278),"-",(I278/G278))</f>
        <v>-</v>
      </c>
      <c r="L278" s="171"/>
      <c r="M278" s="172">
        <f ca="1">IF(ISERROR(AVERAGE(M263,M268,M273)),"-",AVERAGE(M263,M268,M273))</f>
        <v>0</v>
      </c>
      <c r="N278" s="172">
        <f ca="1">IF(ISERROR(AVERAGE(N263,N268,N273)),"-",AVERAGE(N263,N268,N273))</f>
        <v>0</v>
      </c>
      <c r="O278" s="172">
        <f ca="1">IF(ISERROR(AVERAGE(O263,O268,O273)),"-",AVERAGE(O263,O268,O273))</f>
        <v>0</v>
      </c>
      <c r="P278" s="467" t="str">
        <f ca="1">IF(ISERROR(N278/M278),"-",(N278/M278))</f>
        <v>-</v>
      </c>
    </row>
    <row r="279" spans="2:17" ht="15" customHeight="1">
      <c r="B279" s="200"/>
      <c r="C279" s="22"/>
      <c r="D279" s="22"/>
      <c r="E279" s="42"/>
      <c r="F279" s="22"/>
      <c r="G279" s="22"/>
      <c r="H279" s="22"/>
      <c r="I279" s="22"/>
      <c r="J279" s="22"/>
      <c r="K279" s="22"/>
      <c r="L279" s="42"/>
      <c r="M279" s="22"/>
      <c r="N279" s="22"/>
      <c r="O279" s="22"/>
      <c r="P279" s="460"/>
    </row>
    <row r="280" spans="2:17" ht="15" customHeight="1" thickBot="1">
      <c r="B280" s="545" t="str">
        <f>$B$28</f>
        <v>*Lifetime Savings</v>
      </c>
      <c r="C280" s="209"/>
      <c r="D280" s="209"/>
      <c r="E280" s="470"/>
      <c r="F280" s="209"/>
      <c r="G280" s="209"/>
      <c r="H280" s="209"/>
      <c r="I280" s="209"/>
      <c r="J280" s="209"/>
      <c r="K280" s="209"/>
      <c r="L280" s="470"/>
      <c r="M280" s="209"/>
      <c r="N280" s="209"/>
      <c r="O280" s="209"/>
      <c r="P280" s="471"/>
    </row>
    <row r="282" spans="2:17" ht="15" customHeight="1" thickBot="1"/>
    <row r="283" spans="2:17" ht="15" customHeight="1">
      <c r="B283" s="917" t="str">
        <f ca="1">'A2'!A20</f>
        <v>Program 12</v>
      </c>
      <c r="C283" s="918"/>
      <c r="D283" s="918"/>
      <c r="E283" s="918"/>
      <c r="F283" s="918"/>
      <c r="G283" s="918"/>
      <c r="H283" s="918"/>
      <c r="I283" s="918"/>
      <c r="J283" s="918"/>
      <c r="K283" s="918"/>
      <c r="L283" s="918"/>
      <c r="M283" s="918"/>
      <c r="N283" s="918"/>
      <c r="O283" s="918"/>
      <c r="P283" s="919"/>
      <c r="Q283" s="76">
        <v>12</v>
      </c>
    </row>
    <row r="284" spans="2:17" ht="15" customHeight="1">
      <c r="B284" s="183"/>
      <c r="C284" s="94"/>
      <c r="D284" s="94"/>
      <c r="E284" s="95"/>
      <c r="F284" s="94"/>
      <c r="G284" s="94"/>
      <c r="H284" s="94"/>
      <c r="I284" s="94"/>
      <c r="J284" s="94"/>
      <c r="K284" s="94"/>
      <c r="L284" s="95"/>
      <c r="M284" s="94"/>
      <c r="N284" s="23"/>
      <c r="O284" s="23"/>
      <c r="P284" s="184"/>
    </row>
    <row r="285" spans="2:17" ht="15" customHeight="1">
      <c r="B285" s="913">
        <f>$B$8</f>
        <v>2008</v>
      </c>
      <c r="C285" s="914"/>
      <c r="D285" s="96"/>
      <c r="E285" s="77"/>
      <c r="F285" s="907" t="s">
        <v>77</v>
      </c>
      <c r="G285" s="909"/>
      <c r="H285" s="907" t="s">
        <v>75</v>
      </c>
      <c r="I285" s="909"/>
      <c r="J285" s="907" t="s">
        <v>78</v>
      </c>
      <c r="K285" s="909"/>
      <c r="L285" s="77"/>
      <c r="M285" s="907">
        <f>B285</f>
        <v>2008</v>
      </c>
      <c r="N285" s="908"/>
      <c r="O285" s="909"/>
      <c r="P285" s="185"/>
    </row>
    <row r="286" spans="2:17" ht="15" customHeight="1">
      <c r="B286" s="186" t="s">
        <v>76</v>
      </c>
      <c r="C286" s="97" t="s">
        <v>24</v>
      </c>
      <c r="D286" s="98" t="s">
        <v>25</v>
      </c>
      <c r="E286" s="97"/>
      <c r="F286" s="447" t="s">
        <v>223</v>
      </c>
      <c r="G286" s="448" t="s">
        <v>221</v>
      </c>
      <c r="H286" s="447" t="s">
        <v>223</v>
      </c>
      <c r="I286" s="448" t="s">
        <v>221</v>
      </c>
      <c r="J286" s="447" t="s">
        <v>223</v>
      </c>
      <c r="K286" s="448" t="s">
        <v>221</v>
      </c>
      <c r="L286" s="77"/>
      <c r="M286" s="910" t="s">
        <v>96</v>
      </c>
      <c r="N286" s="911"/>
      <c r="O286" s="912"/>
      <c r="P286" s="187" t="s">
        <v>25</v>
      </c>
    </row>
    <row r="287" spans="2:17" ht="15" customHeight="1">
      <c r="B287" s="188" t="s">
        <v>12</v>
      </c>
      <c r="C287" s="160" t="s">
        <v>79</v>
      </c>
      <c r="D287" s="161" t="s">
        <v>12</v>
      </c>
      <c r="E287" s="97"/>
      <c r="F287" s="100" t="str">
        <f>$F$10</f>
        <v>kW*Yrs</v>
      </c>
      <c r="G287" s="99" t="str">
        <f>$G$10</f>
        <v>kWh</v>
      </c>
      <c r="H287" s="100" t="str">
        <f>$H$10</f>
        <v>kW*Yrs</v>
      </c>
      <c r="I287" s="99" t="str">
        <f>$I$10</f>
        <v>kWh</v>
      </c>
      <c r="J287" s="101" t="str">
        <f>$J$10</f>
        <v>kW*Yrs</v>
      </c>
      <c r="K287" s="102" t="str">
        <f>$K$10</f>
        <v>kWh</v>
      </c>
      <c r="L287" s="103"/>
      <c r="M287" s="162" t="s">
        <v>53</v>
      </c>
      <c r="N287" s="163" t="s">
        <v>24</v>
      </c>
      <c r="O287" s="163" t="s">
        <v>83</v>
      </c>
      <c r="P287" s="189" t="s">
        <v>29</v>
      </c>
    </row>
    <row r="288" spans="2:17" ht="15" customHeight="1">
      <c r="B288" s="190">
        <f ca="1">INDIRECT("A2!"&amp;"D"&amp;VLOOKUP("Budget",'A2'!$M$3:$N$6,2,FALSE)+Q283)</f>
        <v>0</v>
      </c>
      <c r="C288" s="164">
        <f ca="1">INDIRECT("A2!"&amp;"E"&amp;VLOOKUP("Budget",'A2'!$M$3:$N$6,2,FALSE)+Q283)</f>
        <v>0</v>
      </c>
      <c r="D288" s="165" t="str">
        <f ca="1">IF(ISERROR(C288/B288),"-",(C288/B288))</f>
        <v>-</v>
      </c>
      <c r="E288" s="166"/>
      <c r="F288" s="167">
        <f ca="1">INDIRECT("A2!"&amp;"D"&amp;VLOOKUP("Demand",'A2'!$M$3:$N$6,2,FALSE)+Q283)</f>
        <v>0</v>
      </c>
      <c r="G288" s="168">
        <f ca="1">INDIRECT("A2!"&amp;"D"&amp;VLOOKUP("Energy",'A2'!$M$3:$N$6,2,FALSE)+Q283)</f>
        <v>0</v>
      </c>
      <c r="H288" s="167">
        <f ca="1">INDIRECT("A2!"&amp;"E"&amp;VLOOKUP("Demand",'A2'!$M$3:$N$6,2,FALSE)+Q283)</f>
        <v>0</v>
      </c>
      <c r="I288" s="168">
        <f ca="1">INDIRECT("A2!"&amp;"E"&amp;VLOOKUP("Energy",'A2'!$M$3:$N$6,2,FALSE)+Q283)</f>
        <v>0</v>
      </c>
      <c r="J288" s="169" t="str">
        <f ca="1">IF(ISERROR(H288/F288),"-",(H288/F288))</f>
        <v>-</v>
      </c>
      <c r="K288" s="170" t="str">
        <f ca="1">IF(ISERROR(I288/G288),"-",(I288/G288))</f>
        <v>-</v>
      </c>
      <c r="L288" s="171"/>
      <c r="M288" s="172">
        <f ca="1">INDIRECT("A2!"&amp;"C"&amp;VLOOKUP("Participant",'A2'!$M$3:$N$6,2,FALSE)+Q283)</f>
        <v>0</v>
      </c>
      <c r="N288" s="172">
        <f ca="1">INDIRECT("A2!"&amp;"D"&amp;VLOOKUP("Participant",'A2'!$M$3:$N$6,2,FALSE)+Q283)</f>
        <v>0</v>
      </c>
      <c r="O288" s="172">
        <f ca="1">INDIRECT("A2!"&amp;"E"&amp;VLOOKUP("Participant",'A2'!$M$3:$N$6,2,FALSE)+Q283)</f>
        <v>0</v>
      </c>
      <c r="P288" s="191" t="str">
        <f ca="1">IF(ISERROR(N288/M288),"-",(N288/M288))</f>
        <v>-</v>
      </c>
    </row>
    <row r="289" spans="2:16" ht="15" customHeight="1">
      <c r="B289" s="183"/>
      <c r="C289" s="94"/>
      <c r="D289" s="94"/>
      <c r="E289" s="37"/>
      <c r="F289" s="94"/>
      <c r="G289" s="94"/>
      <c r="H289" s="94"/>
      <c r="I289" s="94"/>
      <c r="J289" s="94"/>
      <c r="K289" s="94"/>
      <c r="L289" s="37"/>
      <c r="M289" s="94"/>
      <c r="N289" s="23"/>
      <c r="O289" s="23"/>
      <c r="P289" s="184"/>
    </row>
    <row r="290" spans="2:16" ht="15" customHeight="1">
      <c r="B290" s="913">
        <f>$B$13</f>
        <v>2009</v>
      </c>
      <c r="C290" s="914"/>
      <c r="D290" s="96"/>
      <c r="E290" s="77"/>
      <c r="F290" s="907" t="s">
        <v>77</v>
      </c>
      <c r="G290" s="909"/>
      <c r="H290" s="907" t="s">
        <v>75</v>
      </c>
      <c r="I290" s="909"/>
      <c r="J290" s="907" t="s">
        <v>78</v>
      </c>
      <c r="K290" s="909"/>
      <c r="L290" s="77"/>
      <c r="M290" s="907">
        <f>B290</f>
        <v>2009</v>
      </c>
      <c r="N290" s="908"/>
      <c r="O290" s="909"/>
      <c r="P290" s="185"/>
    </row>
    <row r="291" spans="2:16" ht="15" customHeight="1">
      <c r="B291" s="186" t="s">
        <v>76</v>
      </c>
      <c r="C291" s="97" t="s">
        <v>24</v>
      </c>
      <c r="D291" s="98" t="s">
        <v>25</v>
      </c>
      <c r="E291" s="97"/>
      <c r="F291" s="447" t="s">
        <v>223</v>
      </c>
      <c r="G291" s="448" t="s">
        <v>221</v>
      </c>
      <c r="H291" s="447" t="s">
        <v>223</v>
      </c>
      <c r="I291" s="448" t="s">
        <v>221</v>
      </c>
      <c r="J291" s="447" t="s">
        <v>223</v>
      </c>
      <c r="K291" s="448" t="s">
        <v>221</v>
      </c>
      <c r="L291" s="77"/>
      <c r="M291" s="910" t="s">
        <v>96</v>
      </c>
      <c r="N291" s="911"/>
      <c r="O291" s="912"/>
      <c r="P291" s="187" t="s">
        <v>25</v>
      </c>
    </row>
    <row r="292" spans="2:16" ht="15" customHeight="1">
      <c r="B292" s="188" t="s">
        <v>12</v>
      </c>
      <c r="C292" s="160" t="s">
        <v>79</v>
      </c>
      <c r="D292" s="161" t="s">
        <v>12</v>
      </c>
      <c r="E292" s="97"/>
      <c r="F292" s="100" t="str">
        <f>$F$10</f>
        <v>kW*Yrs</v>
      </c>
      <c r="G292" s="99" t="str">
        <f>$G$10</f>
        <v>kWh</v>
      </c>
      <c r="H292" s="100" t="str">
        <f>$H$10</f>
        <v>kW*Yrs</v>
      </c>
      <c r="I292" s="99" t="str">
        <f>$I$10</f>
        <v>kWh</v>
      </c>
      <c r="J292" s="101" t="str">
        <f>$J$10</f>
        <v>kW*Yrs</v>
      </c>
      <c r="K292" s="102" t="str">
        <f>$K$10</f>
        <v>kWh</v>
      </c>
      <c r="L292" s="103"/>
      <c r="M292" s="162" t="s">
        <v>53</v>
      </c>
      <c r="N292" s="163" t="s">
        <v>24</v>
      </c>
      <c r="O292" s="163" t="s">
        <v>83</v>
      </c>
      <c r="P292" s="189" t="s">
        <v>29</v>
      </c>
    </row>
    <row r="293" spans="2:16" ht="15" customHeight="1">
      <c r="B293" s="190">
        <f ca="1">INDIRECT("A2!"&amp;"F"&amp;VLOOKUP("Budget",'A2'!$M$3:$N$6,2,FALSE)+Q283)</f>
        <v>0</v>
      </c>
      <c r="C293" s="164">
        <f ca="1">INDIRECT("A2!"&amp;"G"&amp;VLOOKUP("Budget",'A2'!$M$3:$N$6,2,FALSE)+Q283)</f>
        <v>0</v>
      </c>
      <c r="D293" s="165" t="str">
        <f ca="1">IF(ISERROR(C293/B293),"-",(C293/B293))</f>
        <v>-</v>
      </c>
      <c r="E293" s="166"/>
      <c r="F293" s="167">
        <f ca="1">INDIRECT("A2!"&amp;"F"&amp;VLOOKUP("Demand",'A2'!$M$3:$N$6,2,FALSE)+Q283)</f>
        <v>0</v>
      </c>
      <c r="G293" s="168">
        <f ca="1">INDIRECT("A2!"&amp;"F"&amp;VLOOKUP("Energy",'A2'!$M$3:$N$6,2,FALSE)+Q283)</f>
        <v>0</v>
      </c>
      <c r="H293" s="167">
        <f ca="1">INDIRECT("A2!"&amp;"G"&amp;VLOOKUP("Demand",'A2'!$M$3:$N$6,2,FALSE)+Q283)</f>
        <v>0</v>
      </c>
      <c r="I293" s="168">
        <f ca="1">INDIRECT("A2!"&amp;"G"&amp;VLOOKUP("Energy",'A2'!$M$3:$N$6,2,FALSE)+Q283)</f>
        <v>0</v>
      </c>
      <c r="J293" s="169" t="str">
        <f ca="1">IF(ISERROR(H293/F293),"-",(H293/F293))</f>
        <v>-</v>
      </c>
      <c r="K293" s="170" t="str">
        <f ca="1">IF(ISERROR(I293/G293),"-",(I293/G293))</f>
        <v>-</v>
      </c>
      <c r="L293" s="171"/>
      <c r="M293" s="172">
        <f ca="1">INDIRECT("A2!"&amp;"F"&amp;VLOOKUP("Participant",'A2'!$M$3:$N$6,2,FALSE)+Q283)</f>
        <v>0</v>
      </c>
      <c r="N293" s="172">
        <f ca="1">INDIRECT("A2!"&amp;"G"&amp;VLOOKUP("Participant",'A2'!$M$3:$N$6,2,FALSE)+Q283)</f>
        <v>0</v>
      </c>
      <c r="O293" s="172">
        <f ca="1">INDIRECT("A2!"&amp;"H"&amp;VLOOKUP("Participant",'A2'!$M$3:$N$6,2,FALSE)+Q283)</f>
        <v>0</v>
      </c>
      <c r="P293" s="191" t="str">
        <f ca="1">IF(ISERROR(N293/M293),"-",(N293/M293))</f>
        <v>-</v>
      </c>
    </row>
    <row r="294" spans="2:16" ht="15" customHeight="1">
      <c r="B294" s="192"/>
      <c r="C294" s="37"/>
      <c r="D294" s="37"/>
      <c r="E294" s="37"/>
      <c r="F294" s="37"/>
      <c r="G294" s="37"/>
      <c r="H294" s="37"/>
      <c r="I294" s="37"/>
      <c r="J294" s="37"/>
      <c r="K294" s="37"/>
      <c r="L294" s="37"/>
      <c r="M294" s="37"/>
      <c r="N294" s="77"/>
      <c r="O294" s="77"/>
      <c r="P294" s="193"/>
    </row>
    <row r="295" spans="2:16" ht="15" customHeight="1">
      <c r="B295" s="913">
        <f>$B$18</f>
        <v>2010</v>
      </c>
      <c r="C295" s="914"/>
      <c r="D295" s="96"/>
      <c r="E295" s="77"/>
      <c r="F295" s="907" t="s">
        <v>77</v>
      </c>
      <c r="G295" s="909"/>
      <c r="H295" s="907" t="s">
        <v>75</v>
      </c>
      <c r="I295" s="909"/>
      <c r="J295" s="907" t="s">
        <v>78</v>
      </c>
      <c r="K295" s="909"/>
      <c r="L295" s="77"/>
      <c r="M295" s="907">
        <f>B295</f>
        <v>2010</v>
      </c>
      <c r="N295" s="908"/>
      <c r="O295" s="909"/>
      <c r="P295" s="185"/>
    </row>
    <row r="296" spans="2:16" ht="15" customHeight="1">
      <c r="B296" s="186" t="s">
        <v>76</v>
      </c>
      <c r="C296" s="97" t="s">
        <v>24</v>
      </c>
      <c r="D296" s="98" t="s">
        <v>25</v>
      </c>
      <c r="E296" s="97"/>
      <c r="F296" s="447" t="s">
        <v>223</v>
      </c>
      <c r="G296" s="448" t="s">
        <v>221</v>
      </c>
      <c r="H296" s="447" t="s">
        <v>223</v>
      </c>
      <c r="I296" s="448" t="s">
        <v>221</v>
      </c>
      <c r="J296" s="447" t="s">
        <v>223</v>
      </c>
      <c r="K296" s="448" t="s">
        <v>221</v>
      </c>
      <c r="L296" s="77"/>
      <c r="M296" s="910" t="s">
        <v>96</v>
      </c>
      <c r="N296" s="911"/>
      <c r="O296" s="912"/>
      <c r="P296" s="187" t="s">
        <v>25</v>
      </c>
    </row>
    <row r="297" spans="2:16" ht="15" customHeight="1">
      <c r="B297" s="188" t="s">
        <v>12</v>
      </c>
      <c r="C297" s="160" t="s">
        <v>79</v>
      </c>
      <c r="D297" s="161" t="s">
        <v>12</v>
      </c>
      <c r="E297" s="97"/>
      <c r="F297" s="100" t="str">
        <f>$F$10</f>
        <v>kW*Yrs</v>
      </c>
      <c r="G297" s="99" t="str">
        <f>$G$10</f>
        <v>kWh</v>
      </c>
      <c r="H297" s="100" t="str">
        <f>$H$10</f>
        <v>kW*Yrs</v>
      </c>
      <c r="I297" s="99" t="str">
        <f>$I$10</f>
        <v>kWh</v>
      </c>
      <c r="J297" s="101" t="str">
        <f>$J$10</f>
        <v>kW*Yrs</v>
      </c>
      <c r="K297" s="102" t="str">
        <f>$K$10</f>
        <v>kWh</v>
      </c>
      <c r="L297" s="103"/>
      <c r="M297" s="162" t="s">
        <v>53</v>
      </c>
      <c r="N297" s="163" t="s">
        <v>24</v>
      </c>
      <c r="O297" s="163" t="s">
        <v>83</v>
      </c>
      <c r="P297" s="189" t="s">
        <v>29</v>
      </c>
    </row>
    <row r="298" spans="2:16" ht="15" customHeight="1">
      <c r="B298" s="190">
        <f ca="1">INDIRECT("A2!"&amp;"H"&amp;VLOOKUP("Budget",'A2'!$M$3:$N$6,2,FALSE)+Q283)</f>
        <v>0</v>
      </c>
      <c r="C298" s="164">
        <f ca="1">INDIRECT("A2!"&amp;"I"&amp;VLOOKUP("Budget",'A2'!$M$3:$N$6,2,FALSE)+Q283)</f>
        <v>0</v>
      </c>
      <c r="D298" s="165" t="str">
        <f ca="1">IF(ISERROR(C298/B298),"-",(C298/B298))</f>
        <v>-</v>
      </c>
      <c r="E298" s="166"/>
      <c r="F298" s="167">
        <f ca="1">INDIRECT("A2!"&amp;"H"&amp;VLOOKUP("Demand",'A2'!$M$3:$N$6,2,FALSE)+Q283)</f>
        <v>0</v>
      </c>
      <c r="G298" s="168">
        <f ca="1">INDIRECT("A2!"&amp;"H"&amp;VLOOKUP("Energy",'A2'!$M$3:$N$6,2,FALSE)+Q283)</f>
        <v>0</v>
      </c>
      <c r="H298" s="167">
        <f ca="1">INDIRECT("A2!"&amp;"I"&amp;VLOOKUP("Demand",'A2'!$M$3:$N$6,2,FALSE)+Q283)</f>
        <v>0</v>
      </c>
      <c r="I298" s="168">
        <f ca="1">INDIRECT("A2!"&amp;"I"&amp;VLOOKUP("Energy",'A2'!$M$3:$N$6,2,FALSE)+Q283)</f>
        <v>0</v>
      </c>
      <c r="J298" s="169" t="str">
        <f ca="1">IF(ISERROR(H298/F298),"-",(H298/F298))</f>
        <v>-</v>
      </c>
      <c r="K298" s="170" t="str">
        <f ca="1">IF(ISERROR(I298/G298),"-",(I298/G298))</f>
        <v>-</v>
      </c>
      <c r="L298" s="171"/>
      <c r="M298" s="172">
        <f ca="1">INDIRECT("A2!"&amp;"I"&amp;VLOOKUP("Participant",'A2'!$M$3:$N$6,2,FALSE)+Q283)</f>
        <v>0</v>
      </c>
      <c r="N298" s="172">
        <f ca="1">INDIRECT("A2!"&amp;"J"&amp;VLOOKUP("Participant",'A2'!$M$3:$N$6,2,FALSE)+Q283)</f>
        <v>0</v>
      </c>
      <c r="O298" s="172">
        <f ca="1">INDIRECT("A2!"&amp;"K"&amp;VLOOKUP("Participant",'A2'!$M$3:$N$6,2,FALSE)+Q283)</f>
        <v>0</v>
      </c>
      <c r="P298" s="191" t="str">
        <f ca="1">IF(ISERROR(N298/M298),"-",(N298/M298))</f>
        <v>-</v>
      </c>
    </row>
    <row r="299" spans="2:16" ht="15" customHeight="1">
      <c r="B299" s="194"/>
      <c r="C299" s="22"/>
      <c r="D299" s="22"/>
      <c r="E299" s="42"/>
      <c r="F299" s="22"/>
      <c r="G299" s="22"/>
      <c r="H299" s="22"/>
      <c r="I299" s="22"/>
      <c r="J299" s="22"/>
      <c r="K299" s="22"/>
      <c r="L299" s="42"/>
      <c r="M299" s="22"/>
      <c r="N299" s="22"/>
      <c r="O299" s="22"/>
      <c r="P299" s="184"/>
    </row>
    <row r="300" spans="2:16" ht="15" customHeight="1">
      <c r="B300" s="915" t="s">
        <v>80</v>
      </c>
      <c r="C300" s="916"/>
      <c r="D300" s="96"/>
      <c r="E300" s="77"/>
      <c r="F300" s="907" t="s">
        <v>77</v>
      </c>
      <c r="G300" s="909"/>
      <c r="H300" s="907" t="s">
        <v>75</v>
      </c>
      <c r="I300" s="909"/>
      <c r="J300" s="907" t="s">
        <v>78</v>
      </c>
      <c r="K300" s="909"/>
      <c r="L300" s="77"/>
      <c r="M300" s="907" t="str">
        <f>B285&amp;" - "&amp;B295</f>
        <v>2008 - 2010</v>
      </c>
      <c r="N300" s="908"/>
      <c r="O300" s="909"/>
      <c r="P300" s="185"/>
    </row>
    <row r="301" spans="2:16" ht="15" customHeight="1">
      <c r="B301" s="186" t="s">
        <v>76</v>
      </c>
      <c r="C301" s="97" t="s">
        <v>24</v>
      </c>
      <c r="D301" s="98" t="s">
        <v>25</v>
      </c>
      <c r="E301" s="97"/>
      <c r="F301" s="447" t="s">
        <v>223</v>
      </c>
      <c r="G301" s="448" t="s">
        <v>221</v>
      </c>
      <c r="H301" s="447" t="s">
        <v>223</v>
      </c>
      <c r="I301" s="448" t="s">
        <v>221</v>
      </c>
      <c r="J301" s="447" t="s">
        <v>223</v>
      </c>
      <c r="K301" s="448" t="s">
        <v>221</v>
      </c>
      <c r="L301" s="77"/>
      <c r="M301" s="910" t="s">
        <v>96</v>
      </c>
      <c r="N301" s="911"/>
      <c r="O301" s="912"/>
      <c r="P301" s="187" t="s">
        <v>25</v>
      </c>
    </row>
    <row r="302" spans="2:16" ht="15" customHeight="1">
      <c r="B302" s="188" t="s">
        <v>12</v>
      </c>
      <c r="C302" s="160" t="s">
        <v>79</v>
      </c>
      <c r="D302" s="161" t="s">
        <v>12</v>
      </c>
      <c r="E302" s="97"/>
      <c r="F302" s="100" t="str">
        <f>$F$10</f>
        <v>kW*Yrs</v>
      </c>
      <c r="G302" s="99" t="str">
        <f>$G$10</f>
        <v>kWh</v>
      </c>
      <c r="H302" s="100" t="str">
        <f>$H$10</f>
        <v>kW*Yrs</v>
      </c>
      <c r="I302" s="99" t="str">
        <f>$I$10</f>
        <v>kWh</v>
      </c>
      <c r="J302" s="101" t="str">
        <f>$J$10</f>
        <v>kW*Yrs</v>
      </c>
      <c r="K302" s="102" t="str">
        <f>$K$10</f>
        <v>kWh</v>
      </c>
      <c r="L302" s="103"/>
      <c r="M302" s="162" t="s">
        <v>53</v>
      </c>
      <c r="N302" s="163" t="s">
        <v>24</v>
      </c>
      <c r="O302" s="163" t="s">
        <v>83</v>
      </c>
      <c r="P302" s="189" t="s">
        <v>29</v>
      </c>
    </row>
    <row r="303" spans="2:16" ht="15" customHeight="1">
      <c r="B303" s="466">
        <f ca="1">IF(ISERROR(AVERAGE(B288,B293,B298)),"-",AVERAGE(B288,B293,B298))</f>
        <v>0</v>
      </c>
      <c r="C303" s="164">
        <f ca="1">IF(ISERROR(AVERAGE(C288,C293,C298)),"-",AVERAGE(C288,C293,C298))</f>
        <v>0</v>
      </c>
      <c r="D303" s="165" t="str">
        <f ca="1">IF(ISERROR(C303/B303),"-",(C303/B303))</f>
        <v>-</v>
      </c>
      <c r="E303" s="166"/>
      <c r="F303" s="167">
        <f ca="1">IF(ISERROR(AVERAGE(F288,F293,F298)),"-",AVERAGE(F288,F293,F298))</f>
        <v>0</v>
      </c>
      <c r="G303" s="168">
        <f ca="1">IF(ISERROR(AVERAGE(G288,G293,G298)),"-",AVERAGE(G288,G293,G298))</f>
        <v>0</v>
      </c>
      <c r="H303" s="167">
        <f ca="1">IF(ISERROR(AVERAGE(H288,H293,H298)),"-",AVERAGE(H288,H293,H298))</f>
        <v>0</v>
      </c>
      <c r="I303" s="168">
        <f ca="1">IF(ISERROR(AVERAGE(I288,I293,I298)),"-",AVERAGE(I288,I293,I298))</f>
        <v>0</v>
      </c>
      <c r="J303" s="169" t="str">
        <f ca="1">IF(ISERROR(H303/F303),"-",(H303/F303))</f>
        <v>-</v>
      </c>
      <c r="K303" s="170" t="str">
        <f ca="1">IF(ISERROR(I303/G303),"-",(I303/G303))</f>
        <v>-</v>
      </c>
      <c r="L303" s="171"/>
      <c r="M303" s="172">
        <f ca="1">IF(ISERROR(AVERAGE(M288,M293,M298)),"-",AVERAGE(M288,M293,M298))</f>
        <v>0</v>
      </c>
      <c r="N303" s="172">
        <f ca="1">IF(ISERROR(AVERAGE(N288,N293,N298)),"-",AVERAGE(N288,N293,N298))</f>
        <v>0</v>
      </c>
      <c r="O303" s="172">
        <f ca="1">IF(ISERROR(AVERAGE(O288,O293,O298)),"-",AVERAGE(O288,O293,O298))</f>
        <v>0</v>
      </c>
      <c r="P303" s="467" t="str">
        <f ca="1">IF(ISERROR(N303/M303),"-",(N303/M303))</f>
        <v>-</v>
      </c>
    </row>
    <row r="304" spans="2:16" ht="15" customHeight="1">
      <c r="B304" s="200"/>
      <c r="C304" s="22"/>
      <c r="D304" s="22"/>
      <c r="E304" s="42"/>
      <c r="F304" s="22"/>
      <c r="G304" s="22"/>
      <c r="H304" s="22"/>
      <c r="I304" s="22"/>
      <c r="J304" s="22"/>
      <c r="K304" s="22"/>
      <c r="L304" s="42"/>
      <c r="M304" s="22"/>
      <c r="N304" s="22"/>
      <c r="O304" s="22"/>
      <c r="P304" s="460"/>
    </row>
    <row r="305" spans="2:17" ht="15" customHeight="1" thickBot="1">
      <c r="B305" s="545" t="str">
        <f>$B$28</f>
        <v>*Lifetime Savings</v>
      </c>
      <c r="C305" s="209"/>
      <c r="D305" s="209"/>
      <c r="E305" s="470"/>
      <c r="F305" s="209"/>
      <c r="G305" s="209"/>
      <c r="H305" s="209"/>
      <c r="I305" s="209"/>
      <c r="J305" s="209"/>
      <c r="K305" s="209"/>
      <c r="L305" s="470"/>
      <c r="M305" s="209"/>
      <c r="N305" s="209"/>
      <c r="O305" s="209"/>
      <c r="P305" s="471"/>
    </row>
    <row r="307" spans="2:17" ht="15" customHeight="1" thickBot="1"/>
    <row r="308" spans="2:17" ht="15" customHeight="1">
      <c r="B308" s="917" t="str">
        <f ca="1">'A2'!A21</f>
        <v>Program 13</v>
      </c>
      <c r="C308" s="918"/>
      <c r="D308" s="918"/>
      <c r="E308" s="918"/>
      <c r="F308" s="918"/>
      <c r="G308" s="918"/>
      <c r="H308" s="918"/>
      <c r="I308" s="918"/>
      <c r="J308" s="918"/>
      <c r="K308" s="918"/>
      <c r="L308" s="918"/>
      <c r="M308" s="918"/>
      <c r="N308" s="918"/>
      <c r="O308" s="918"/>
      <c r="P308" s="919"/>
      <c r="Q308" s="76">
        <v>13</v>
      </c>
    </row>
    <row r="309" spans="2:17" ht="15" customHeight="1">
      <c r="B309" s="183"/>
      <c r="C309" s="94"/>
      <c r="D309" s="94"/>
      <c r="E309" s="95"/>
      <c r="F309" s="94"/>
      <c r="G309" s="94"/>
      <c r="H309" s="94"/>
      <c r="I309" s="94"/>
      <c r="J309" s="94"/>
      <c r="K309" s="94"/>
      <c r="L309" s="95"/>
      <c r="M309" s="94"/>
      <c r="N309" s="23"/>
      <c r="O309" s="23"/>
      <c r="P309" s="184"/>
    </row>
    <row r="310" spans="2:17" ht="15" customHeight="1">
      <c r="B310" s="913">
        <f>$B$8</f>
        <v>2008</v>
      </c>
      <c r="C310" s="914"/>
      <c r="D310" s="96"/>
      <c r="E310" s="77"/>
      <c r="F310" s="907" t="s">
        <v>77</v>
      </c>
      <c r="G310" s="909"/>
      <c r="H310" s="907" t="s">
        <v>75</v>
      </c>
      <c r="I310" s="909"/>
      <c r="J310" s="907" t="s">
        <v>78</v>
      </c>
      <c r="K310" s="909"/>
      <c r="L310" s="77"/>
      <c r="M310" s="907">
        <f>B310</f>
        <v>2008</v>
      </c>
      <c r="N310" s="908"/>
      <c r="O310" s="909"/>
      <c r="P310" s="185"/>
    </row>
    <row r="311" spans="2:17" ht="15" customHeight="1">
      <c r="B311" s="186" t="s">
        <v>76</v>
      </c>
      <c r="C311" s="97" t="s">
        <v>24</v>
      </c>
      <c r="D311" s="98" t="s">
        <v>25</v>
      </c>
      <c r="E311" s="97"/>
      <c r="F311" s="447" t="s">
        <v>223</v>
      </c>
      <c r="G311" s="448" t="s">
        <v>221</v>
      </c>
      <c r="H311" s="447" t="s">
        <v>223</v>
      </c>
      <c r="I311" s="448" t="s">
        <v>221</v>
      </c>
      <c r="J311" s="447" t="s">
        <v>223</v>
      </c>
      <c r="K311" s="448" t="s">
        <v>221</v>
      </c>
      <c r="L311" s="77"/>
      <c r="M311" s="910" t="s">
        <v>96</v>
      </c>
      <c r="N311" s="911"/>
      <c r="O311" s="912"/>
      <c r="P311" s="187" t="s">
        <v>25</v>
      </c>
    </row>
    <row r="312" spans="2:17" ht="15" customHeight="1">
      <c r="B312" s="188" t="s">
        <v>12</v>
      </c>
      <c r="C312" s="160" t="s">
        <v>79</v>
      </c>
      <c r="D312" s="161" t="s">
        <v>12</v>
      </c>
      <c r="E312" s="97"/>
      <c r="F312" s="100" t="str">
        <f>$F$10</f>
        <v>kW*Yrs</v>
      </c>
      <c r="G312" s="99" t="str">
        <f>$G$10</f>
        <v>kWh</v>
      </c>
      <c r="H312" s="100" t="str">
        <f>$H$10</f>
        <v>kW*Yrs</v>
      </c>
      <c r="I312" s="99" t="str">
        <f>$I$10</f>
        <v>kWh</v>
      </c>
      <c r="J312" s="101" t="str">
        <f>$J$10</f>
        <v>kW*Yrs</v>
      </c>
      <c r="K312" s="102" t="str">
        <f>$K$10</f>
        <v>kWh</v>
      </c>
      <c r="L312" s="103"/>
      <c r="M312" s="162" t="s">
        <v>53</v>
      </c>
      <c r="N312" s="163" t="s">
        <v>24</v>
      </c>
      <c r="O312" s="163" t="s">
        <v>83</v>
      </c>
      <c r="P312" s="189" t="s">
        <v>29</v>
      </c>
    </row>
    <row r="313" spans="2:17" ht="15" customHeight="1">
      <c r="B313" s="190">
        <f ca="1">INDIRECT("A2!"&amp;"D"&amp;VLOOKUP("Budget",'A2'!$M$3:$N$6,2,FALSE)+Q308)</f>
        <v>0</v>
      </c>
      <c r="C313" s="164">
        <f ca="1">INDIRECT("A2!"&amp;"E"&amp;VLOOKUP("Budget",'A2'!$M$3:$N$6,2,FALSE)+Q308)</f>
        <v>0</v>
      </c>
      <c r="D313" s="165" t="str">
        <f ca="1">IF(ISERROR(C313/B313),"-",(C313/B313))</f>
        <v>-</v>
      </c>
      <c r="E313" s="166"/>
      <c r="F313" s="167">
        <f ca="1">INDIRECT("A2!"&amp;"D"&amp;VLOOKUP("Demand",'A2'!$M$3:$N$6,2,FALSE)+Q308)</f>
        <v>0</v>
      </c>
      <c r="G313" s="168">
        <f ca="1">INDIRECT("A2!"&amp;"D"&amp;VLOOKUP("Energy",'A2'!$M$3:$N$6,2,FALSE)+Q308)</f>
        <v>0</v>
      </c>
      <c r="H313" s="167">
        <f ca="1">INDIRECT("A2!"&amp;"E"&amp;VLOOKUP("Demand",'A2'!$M$3:$N$6,2,FALSE)+Q308)</f>
        <v>0</v>
      </c>
      <c r="I313" s="168">
        <f ca="1">INDIRECT("A2!"&amp;"E"&amp;VLOOKUP("Energy",'A2'!$M$3:$N$6,2,FALSE)+Q308)</f>
        <v>0</v>
      </c>
      <c r="J313" s="169" t="str">
        <f ca="1">IF(ISERROR(H313/F313),"-",(H313/F313))</f>
        <v>-</v>
      </c>
      <c r="K313" s="170" t="str">
        <f ca="1">IF(ISERROR(I313/G313),"-",(I313/G313))</f>
        <v>-</v>
      </c>
      <c r="L313" s="171"/>
      <c r="M313" s="172">
        <f ca="1">INDIRECT("A2!"&amp;"C"&amp;VLOOKUP("Participant",'A2'!$M$3:$N$6,2,FALSE)+Q308)</f>
        <v>0</v>
      </c>
      <c r="N313" s="172">
        <f ca="1">INDIRECT("A2!"&amp;"D"&amp;VLOOKUP("Participant",'A2'!$M$3:$N$6,2,FALSE)+Q308)</f>
        <v>0</v>
      </c>
      <c r="O313" s="172">
        <f ca="1">INDIRECT("A2!"&amp;"E"&amp;VLOOKUP("Participant",'A2'!$M$3:$N$6,2,FALSE)+Q308)</f>
        <v>0</v>
      </c>
      <c r="P313" s="191" t="str">
        <f ca="1">IF(ISERROR(N313/M313),"-",(N313/M313))</f>
        <v>-</v>
      </c>
    </row>
    <row r="314" spans="2:17" ht="15" customHeight="1">
      <c r="B314" s="183"/>
      <c r="C314" s="94"/>
      <c r="D314" s="94"/>
      <c r="E314" s="37"/>
      <c r="F314" s="94"/>
      <c r="G314" s="94"/>
      <c r="H314" s="94"/>
      <c r="I314" s="94"/>
      <c r="J314" s="94"/>
      <c r="K314" s="94"/>
      <c r="L314" s="37"/>
      <c r="M314" s="94"/>
      <c r="N314" s="23"/>
      <c r="O314" s="23"/>
      <c r="P314" s="184"/>
    </row>
    <row r="315" spans="2:17" ht="15" customHeight="1">
      <c r="B315" s="913">
        <f>$B$13</f>
        <v>2009</v>
      </c>
      <c r="C315" s="914"/>
      <c r="D315" s="96"/>
      <c r="E315" s="77"/>
      <c r="F315" s="907" t="s">
        <v>77</v>
      </c>
      <c r="G315" s="909"/>
      <c r="H315" s="907" t="s">
        <v>75</v>
      </c>
      <c r="I315" s="909"/>
      <c r="J315" s="907" t="s">
        <v>78</v>
      </c>
      <c r="K315" s="909"/>
      <c r="L315" s="77"/>
      <c r="M315" s="907">
        <f>B315</f>
        <v>2009</v>
      </c>
      <c r="N315" s="908"/>
      <c r="O315" s="909"/>
      <c r="P315" s="185"/>
    </row>
    <row r="316" spans="2:17" ht="15" customHeight="1">
      <c r="B316" s="186" t="s">
        <v>76</v>
      </c>
      <c r="C316" s="97" t="s">
        <v>24</v>
      </c>
      <c r="D316" s="98" t="s">
        <v>25</v>
      </c>
      <c r="E316" s="97"/>
      <c r="F316" s="447" t="s">
        <v>223</v>
      </c>
      <c r="G316" s="448" t="s">
        <v>221</v>
      </c>
      <c r="H316" s="447" t="s">
        <v>223</v>
      </c>
      <c r="I316" s="448" t="s">
        <v>221</v>
      </c>
      <c r="J316" s="447" t="s">
        <v>223</v>
      </c>
      <c r="K316" s="448" t="s">
        <v>221</v>
      </c>
      <c r="L316" s="77"/>
      <c r="M316" s="910" t="s">
        <v>96</v>
      </c>
      <c r="N316" s="911"/>
      <c r="O316" s="912"/>
      <c r="P316" s="187" t="s">
        <v>25</v>
      </c>
    </row>
    <row r="317" spans="2:17" ht="15" customHeight="1">
      <c r="B317" s="188" t="s">
        <v>12</v>
      </c>
      <c r="C317" s="160" t="s">
        <v>79</v>
      </c>
      <c r="D317" s="161" t="s">
        <v>12</v>
      </c>
      <c r="E317" s="97"/>
      <c r="F317" s="100" t="str">
        <f>$F$10</f>
        <v>kW*Yrs</v>
      </c>
      <c r="G317" s="99" t="str">
        <f>$G$10</f>
        <v>kWh</v>
      </c>
      <c r="H317" s="100" t="str">
        <f>$H$10</f>
        <v>kW*Yrs</v>
      </c>
      <c r="I317" s="99" t="str">
        <f>$I$10</f>
        <v>kWh</v>
      </c>
      <c r="J317" s="101" t="str">
        <f>$J$10</f>
        <v>kW*Yrs</v>
      </c>
      <c r="K317" s="102" t="str">
        <f>$K$10</f>
        <v>kWh</v>
      </c>
      <c r="L317" s="103"/>
      <c r="M317" s="162" t="s">
        <v>53</v>
      </c>
      <c r="N317" s="163" t="s">
        <v>24</v>
      </c>
      <c r="O317" s="163" t="s">
        <v>83</v>
      </c>
      <c r="P317" s="189" t="s">
        <v>29</v>
      </c>
    </row>
    <row r="318" spans="2:17" ht="15" customHeight="1">
      <c r="B318" s="190">
        <f ca="1">INDIRECT("A2!"&amp;"F"&amp;VLOOKUP("Budget",'A2'!$M$3:$N$6,2,FALSE)+Q308)</f>
        <v>0</v>
      </c>
      <c r="C318" s="164">
        <f ca="1">INDIRECT("A2!"&amp;"G"&amp;VLOOKUP("Budget",'A2'!$M$3:$N$6,2,FALSE)+Q308)</f>
        <v>0</v>
      </c>
      <c r="D318" s="165" t="str">
        <f ca="1">IF(ISERROR(C318/B318),"-",(C318/B318))</f>
        <v>-</v>
      </c>
      <c r="E318" s="166"/>
      <c r="F318" s="167">
        <f ca="1">INDIRECT("A2!"&amp;"F"&amp;VLOOKUP("Demand",'A2'!$M$3:$N$6,2,FALSE)+Q308)</f>
        <v>0</v>
      </c>
      <c r="G318" s="168">
        <f ca="1">INDIRECT("A2!"&amp;"F"&amp;VLOOKUP("Energy",'A2'!$M$3:$N$6,2,FALSE)+Q308)</f>
        <v>0</v>
      </c>
      <c r="H318" s="167">
        <f ca="1">INDIRECT("A2!"&amp;"G"&amp;VLOOKUP("Demand",'A2'!$M$3:$N$6,2,FALSE)+Q308)</f>
        <v>0</v>
      </c>
      <c r="I318" s="168">
        <f ca="1">INDIRECT("A2!"&amp;"G"&amp;VLOOKUP("Energy",'A2'!$M$3:$N$6,2,FALSE)+Q308)</f>
        <v>0</v>
      </c>
      <c r="J318" s="169" t="str">
        <f ca="1">IF(ISERROR(H318/F318),"-",(H318/F318))</f>
        <v>-</v>
      </c>
      <c r="K318" s="170" t="str">
        <f ca="1">IF(ISERROR(I318/G318),"-",(I318/G318))</f>
        <v>-</v>
      </c>
      <c r="L318" s="171"/>
      <c r="M318" s="172">
        <f ca="1">INDIRECT("A2!"&amp;"F"&amp;VLOOKUP("Participant",'A2'!$M$3:$N$6,2,FALSE)+Q308)</f>
        <v>0</v>
      </c>
      <c r="N318" s="172">
        <f ca="1">INDIRECT("A2!"&amp;"G"&amp;VLOOKUP("Participant",'A2'!$M$3:$N$6,2,FALSE)+Q308)</f>
        <v>0</v>
      </c>
      <c r="O318" s="172">
        <f ca="1">INDIRECT("A2!"&amp;"H"&amp;VLOOKUP("Participant",'A2'!$M$3:$N$6,2,FALSE)+Q308)</f>
        <v>0</v>
      </c>
      <c r="P318" s="191" t="str">
        <f ca="1">IF(ISERROR(N318/M318),"-",(N318/M318))</f>
        <v>-</v>
      </c>
    </row>
    <row r="319" spans="2:17" ht="15" customHeight="1">
      <c r="B319" s="192"/>
      <c r="C319" s="37"/>
      <c r="D319" s="37"/>
      <c r="E319" s="37"/>
      <c r="F319" s="37"/>
      <c r="G319" s="37"/>
      <c r="H319" s="37"/>
      <c r="I319" s="37"/>
      <c r="J319" s="37"/>
      <c r="K319" s="37"/>
      <c r="L319" s="37"/>
      <c r="M319" s="37"/>
      <c r="N319" s="77"/>
      <c r="O319" s="77"/>
      <c r="P319" s="193"/>
    </row>
    <row r="320" spans="2:17" ht="15" customHeight="1">
      <c r="B320" s="913">
        <f>$B$18</f>
        <v>2010</v>
      </c>
      <c r="C320" s="914"/>
      <c r="D320" s="96"/>
      <c r="E320" s="77"/>
      <c r="F320" s="907" t="s">
        <v>77</v>
      </c>
      <c r="G320" s="909"/>
      <c r="H320" s="907" t="s">
        <v>75</v>
      </c>
      <c r="I320" s="909"/>
      <c r="J320" s="907" t="s">
        <v>78</v>
      </c>
      <c r="K320" s="909"/>
      <c r="L320" s="77"/>
      <c r="M320" s="907">
        <f>B320</f>
        <v>2010</v>
      </c>
      <c r="N320" s="908"/>
      <c r="O320" s="909"/>
      <c r="P320" s="185"/>
    </row>
    <row r="321" spans="2:17" ht="15" customHeight="1">
      <c r="B321" s="186" t="s">
        <v>76</v>
      </c>
      <c r="C321" s="97" t="s">
        <v>24</v>
      </c>
      <c r="D321" s="98" t="s">
        <v>25</v>
      </c>
      <c r="E321" s="97"/>
      <c r="F321" s="447" t="s">
        <v>223</v>
      </c>
      <c r="G321" s="448" t="s">
        <v>221</v>
      </c>
      <c r="H321" s="447" t="s">
        <v>223</v>
      </c>
      <c r="I321" s="448" t="s">
        <v>221</v>
      </c>
      <c r="J321" s="447" t="s">
        <v>223</v>
      </c>
      <c r="K321" s="448" t="s">
        <v>221</v>
      </c>
      <c r="L321" s="77"/>
      <c r="M321" s="910" t="s">
        <v>96</v>
      </c>
      <c r="N321" s="911"/>
      <c r="O321" s="912"/>
      <c r="P321" s="187" t="s">
        <v>25</v>
      </c>
    </row>
    <row r="322" spans="2:17" ht="15" customHeight="1">
      <c r="B322" s="188" t="s">
        <v>12</v>
      </c>
      <c r="C322" s="160" t="s">
        <v>79</v>
      </c>
      <c r="D322" s="161" t="s">
        <v>12</v>
      </c>
      <c r="E322" s="97"/>
      <c r="F322" s="100" t="str">
        <f>$F$10</f>
        <v>kW*Yrs</v>
      </c>
      <c r="G322" s="99" t="str">
        <f>$G$10</f>
        <v>kWh</v>
      </c>
      <c r="H322" s="100" t="str">
        <f>$H$10</f>
        <v>kW*Yrs</v>
      </c>
      <c r="I322" s="99" t="str">
        <f>$I$10</f>
        <v>kWh</v>
      </c>
      <c r="J322" s="101" t="str">
        <f>$J$10</f>
        <v>kW*Yrs</v>
      </c>
      <c r="K322" s="102" t="str">
        <f>$K$10</f>
        <v>kWh</v>
      </c>
      <c r="L322" s="103"/>
      <c r="M322" s="162" t="s">
        <v>53</v>
      </c>
      <c r="N322" s="163" t="s">
        <v>24</v>
      </c>
      <c r="O322" s="163" t="s">
        <v>83</v>
      </c>
      <c r="P322" s="189" t="s">
        <v>29</v>
      </c>
    </row>
    <row r="323" spans="2:17" ht="15" customHeight="1">
      <c r="B323" s="190">
        <f ca="1">INDIRECT("A2!"&amp;"H"&amp;VLOOKUP("Budget",'A2'!$M$3:$N$6,2,FALSE)+Q308)</f>
        <v>0</v>
      </c>
      <c r="C323" s="164">
        <f ca="1">INDIRECT("A2!"&amp;"I"&amp;VLOOKUP("Budget",'A2'!$M$3:$N$6,2,FALSE)+Q308)</f>
        <v>0</v>
      </c>
      <c r="D323" s="165" t="str">
        <f ca="1">IF(ISERROR(C323/B323),"-",(C323/B323))</f>
        <v>-</v>
      </c>
      <c r="E323" s="166"/>
      <c r="F323" s="167">
        <f ca="1">INDIRECT("A2!"&amp;"H"&amp;VLOOKUP("Demand",'A2'!$M$3:$N$6,2,FALSE)+Q308)</f>
        <v>0</v>
      </c>
      <c r="G323" s="168">
        <f ca="1">INDIRECT("A2!"&amp;"H"&amp;VLOOKUP("Energy",'A2'!$M$3:$N$6,2,FALSE)+Q308)</f>
        <v>0</v>
      </c>
      <c r="H323" s="167">
        <f ca="1">INDIRECT("A2!"&amp;"I"&amp;VLOOKUP("Demand",'A2'!$M$3:$N$6,2,FALSE)+Q308)</f>
        <v>0</v>
      </c>
      <c r="I323" s="168">
        <f ca="1">INDIRECT("A2!"&amp;"I"&amp;VLOOKUP("Energy",'A2'!$M$3:$N$6,2,FALSE)+Q308)</f>
        <v>0</v>
      </c>
      <c r="J323" s="169" t="str">
        <f ca="1">IF(ISERROR(H323/F323),"-",(H323/F323))</f>
        <v>-</v>
      </c>
      <c r="K323" s="170" t="str">
        <f ca="1">IF(ISERROR(I323/G323),"-",(I323/G323))</f>
        <v>-</v>
      </c>
      <c r="L323" s="171"/>
      <c r="M323" s="172">
        <f ca="1">INDIRECT("A2!"&amp;"I"&amp;VLOOKUP("Participant",'A2'!$M$3:$N$6,2,FALSE)+Q308)</f>
        <v>0</v>
      </c>
      <c r="N323" s="172">
        <f ca="1">INDIRECT("A2!"&amp;"J"&amp;VLOOKUP("Participant",'A2'!$M$3:$N$6,2,FALSE)+Q308)</f>
        <v>0</v>
      </c>
      <c r="O323" s="172">
        <f ca="1">INDIRECT("A2!"&amp;"K"&amp;VLOOKUP("Participant",'A2'!$M$3:$N$6,2,FALSE)+Q308)</f>
        <v>0</v>
      </c>
      <c r="P323" s="191" t="str">
        <f ca="1">IF(ISERROR(N323/M323),"-",(N323/M323))</f>
        <v>-</v>
      </c>
    </row>
    <row r="324" spans="2:17" ht="15" customHeight="1">
      <c r="B324" s="194"/>
      <c r="C324" s="22"/>
      <c r="D324" s="22"/>
      <c r="E324" s="42"/>
      <c r="F324" s="22"/>
      <c r="G324" s="22"/>
      <c r="H324" s="22"/>
      <c r="I324" s="22"/>
      <c r="J324" s="22"/>
      <c r="K324" s="22"/>
      <c r="L324" s="42"/>
      <c r="M324" s="22"/>
      <c r="N324" s="22"/>
      <c r="O324" s="22"/>
      <c r="P324" s="184"/>
    </row>
    <row r="325" spans="2:17" ht="15" customHeight="1">
      <c r="B325" s="915" t="s">
        <v>80</v>
      </c>
      <c r="C325" s="916"/>
      <c r="D325" s="96"/>
      <c r="E325" s="77"/>
      <c r="F325" s="907" t="s">
        <v>77</v>
      </c>
      <c r="G325" s="909"/>
      <c r="H325" s="907" t="s">
        <v>75</v>
      </c>
      <c r="I325" s="909"/>
      <c r="J325" s="907" t="s">
        <v>78</v>
      </c>
      <c r="K325" s="909"/>
      <c r="L325" s="77"/>
      <c r="M325" s="907" t="str">
        <f>B310&amp;" - "&amp;B320</f>
        <v>2008 - 2010</v>
      </c>
      <c r="N325" s="908"/>
      <c r="O325" s="909"/>
      <c r="P325" s="185"/>
    </row>
    <row r="326" spans="2:17" ht="15" customHeight="1">
      <c r="B326" s="186" t="s">
        <v>76</v>
      </c>
      <c r="C326" s="97" t="s">
        <v>24</v>
      </c>
      <c r="D326" s="98" t="s">
        <v>25</v>
      </c>
      <c r="E326" s="97"/>
      <c r="F326" s="447" t="s">
        <v>223</v>
      </c>
      <c r="G326" s="448" t="s">
        <v>221</v>
      </c>
      <c r="H326" s="447" t="s">
        <v>223</v>
      </c>
      <c r="I326" s="448" t="s">
        <v>221</v>
      </c>
      <c r="J326" s="447" t="s">
        <v>223</v>
      </c>
      <c r="K326" s="448" t="s">
        <v>221</v>
      </c>
      <c r="L326" s="77"/>
      <c r="M326" s="910" t="s">
        <v>96</v>
      </c>
      <c r="N326" s="911"/>
      <c r="O326" s="912"/>
      <c r="P326" s="187" t="s">
        <v>25</v>
      </c>
    </row>
    <row r="327" spans="2:17" ht="15" customHeight="1">
      <c r="B327" s="188" t="s">
        <v>12</v>
      </c>
      <c r="C327" s="160" t="s">
        <v>79</v>
      </c>
      <c r="D327" s="161" t="s">
        <v>12</v>
      </c>
      <c r="E327" s="97"/>
      <c r="F327" s="100" t="str">
        <f>$F$10</f>
        <v>kW*Yrs</v>
      </c>
      <c r="G327" s="99" t="str">
        <f>$G$10</f>
        <v>kWh</v>
      </c>
      <c r="H327" s="100" t="str">
        <f>$H$10</f>
        <v>kW*Yrs</v>
      </c>
      <c r="I327" s="99" t="str">
        <f>$I$10</f>
        <v>kWh</v>
      </c>
      <c r="J327" s="101" t="str">
        <f>$J$10</f>
        <v>kW*Yrs</v>
      </c>
      <c r="K327" s="102" t="str">
        <f>$K$10</f>
        <v>kWh</v>
      </c>
      <c r="L327" s="103"/>
      <c r="M327" s="162" t="s">
        <v>53</v>
      </c>
      <c r="N327" s="163" t="s">
        <v>24</v>
      </c>
      <c r="O327" s="163" t="s">
        <v>83</v>
      </c>
      <c r="P327" s="189" t="s">
        <v>29</v>
      </c>
    </row>
    <row r="328" spans="2:17" ht="15" customHeight="1">
      <c r="B328" s="466">
        <f ca="1">IF(ISERROR(AVERAGE(B313,B318,B323)),"-",AVERAGE(B313,B318,B323))</f>
        <v>0</v>
      </c>
      <c r="C328" s="164">
        <f ca="1">IF(ISERROR(AVERAGE(C313,C318,C323)),"-",AVERAGE(C313,C318,C323))</f>
        <v>0</v>
      </c>
      <c r="D328" s="165" t="str">
        <f ca="1">IF(ISERROR(C328/B328),"-",(C328/B328))</f>
        <v>-</v>
      </c>
      <c r="E328" s="166"/>
      <c r="F328" s="167">
        <f ca="1">IF(ISERROR(AVERAGE(F313,F318,F323)),"-",AVERAGE(F313,F318,F323))</f>
        <v>0</v>
      </c>
      <c r="G328" s="168">
        <f ca="1">IF(ISERROR(AVERAGE(G313,G318,G323)),"-",AVERAGE(G313,G318,G323))</f>
        <v>0</v>
      </c>
      <c r="H328" s="167">
        <f ca="1">IF(ISERROR(AVERAGE(H313,H318,H323)),"-",AVERAGE(H313,H318,H323))</f>
        <v>0</v>
      </c>
      <c r="I328" s="168">
        <f ca="1">IF(ISERROR(AVERAGE(I313,I318,I323)),"-",AVERAGE(I313,I318,I323))</f>
        <v>0</v>
      </c>
      <c r="J328" s="169" t="str">
        <f ca="1">IF(ISERROR(H328/F328),"-",(H328/F328))</f>
        <v>-</v>
      </c>
      <c r="K328" s="170" t="str">
        <f ca="1">IF(ISERROR(I328/G328),"-",(I328/G328))</f>
        <v>-</v>
      </c>
      <c r="L328" s="171"/>
      <c r="M328" s="172">
        <f ca="1">IF(ISERROR(AVERAGE(M313,M318,M323)),"-",AVERAGE(M313,M318,M323))</f>
        <v>0</v>
      </c>
      <c r="N328" s="172">
        <f ca="1">IF(ISERROR(AVERAGE(N313,N318,N323)),"-",AVERAGE(N313,N318,N323))</f>
        <v>0</v>
      </c>
      <c r="O328" s="172">
        <f ca="1">IF(ISERROR(AVERAGE(O313,O318,O323)),"-",AVERAGE(O313,O318,O323))</f>
        <v>0</v>
      </c>
      <c r="P328" s="467" t="str">
        <f ca="1">IF(ISERROR(N328/M328),"-",(N328/M328))</f>
        <v>-</v>
      </c>
    </row>
    <row r="329" spans="2:17" ht="15" customHeight="1">
      <c r="B329" s="200"/>
      <c r="C329" s="22"/>
      <c r="D329" s="22"/>
      <c r="E329" s="42"/>
      <c r="F329" s="22"/>
      <c r="G329" s="22"/>
      <c r="H329" s="22"/>
      <c r="I329" s="22"/>
      <c r="J329" s="22"/>
      <c r="K329" s="22"/>
      <c r="L329" s="42"/>
      <c r="M329" s="22"/>
      <c r="N329" s="22"/>
      <c r="O329" s="22"/>
      <c r="P329" s="460"/>
    </row>
    <row r="330" spans="2:17" ht="15" customHeight="1" thickBot="1">
      <c r="B330" s="545" t="str">
        <f>$B$28</f>
        <v>*Lifetime Savings</v>
      </c>
      <c r="C330" s="209"/>
      <c r="D330" s="209"/>
      <c r="E330" s="470"/>
      <c r="F330" s="209"/>
      <c r="G330" s="209"/>
      <c r="H330" s="209"/>
      <c r="I330" s="209"/>
      <c r="J330" s="209"/>
      <c r="K330" s="209"/>
      <c r="L330" s="470"/>
      <c r="M330" s="209"/>
      <c r="N330" s="209"/>
      <c r="O330" s="209"/>
      <c r="P330" s="471"/>
    </row>
    <row r="332" spans="2:17" ht="15" customHeight="1" thickBot="1"/>
    <row r="333" spans="2:17" ht="15" customHeight="1">
      <c r="B333" s="917" t="str">
        <f ca="1">'A2'!A22</f>
        <v>Program 14</v>
      </c>
      <c r="C333" s="918"/>
      <c r="D333" s="918"/>
      <c r="E333" s="918"/>
      <c r="F333" s="918"/>
      <c r="G333" s="918"/>
      <c r="H333" s="918"/>
      <c r="I333" s="918"/>
      <c r="J333" s="918"/>
      <c r="K333" s="918"/>
      <c r="L333" s="918"/>
      <c r="M333" s="918"/>
      <c r="N333" s="918"/>
      <c r="O333" s="918"/>
      <c r="P333" s="919"/>
      <c r="Q333" s="76">
        <v>14</v>
      </c>
    </row>
    <row r="334" spans="2:17" ht="15" customHeight="1">
      <c r="B334" s="183"/>
      <c r="C334" s="94"/>
      <c r="D334" s="94"/>
      <c r="E334" s="95"/>
      <c r="F334" s="94"/>
      <c r="G334" s="94"/>
      <c r="H334" s="94"/>
      <c r="I334" s="94"/>
      <c r="J334" s="94"/>
      <c r="K334" s="94"/>
      <c r="L334" s="95"/>
      <c r="M334" s="94"/>
      <c r="N334" s="23"/>
      <c r="O334" s="23"/>
      <c r="P334" s="184"/>
    </row>
    <row r="335" spans="2:17" ht="15" customHeight="1">
      <c r="B335" s="913">
        <f>$B$8</f>
        <v>2008</v>
      </c>
      <c r="C335" s="914"/>
      <c r="D335" s="96"/>
      <c r="E335" s="77"/>
      <c r="F335" s="907" t="s">
        <v>77</v>
      </c>
      <c r="G335" s="909"/>
      <c r="H335" s="907" t="s">
        <v>75</v>
      </c>
      <c r="I335" s="909"/>
      <c r="J335" s="907" t="s">
        <v>78</v>
      </c>
      <c r="K335" s="909"/>
      <c r="L335" s="77"/>
      <c r="M335" s="907">
        <f>B335</f>
        <v>2008</v>
      </c>
      <c r="N335" s="908"/>
      <c r="O335" s="909"/>
      <c r="P335" s="185"/>
    </row>
    <row r="336" spans="2:17" ht="15" customHeight="1">
      <c r="B336" s="186" t="s">
        <v>76</v>
      </c>
      <c r="C336" s="97" t="s">
        <v>24</v>
      </c>
      <c r="D336" s="98" t="s">
        <v>25</v>
      </c>
      <c r="E336" s="97"/>
      <c r="F336" s="447" t="s">
        <v>223</v>
      </c>
      <c r="G336" s="448" t="s">
        <v>221</v>
      </c>
      <c r="H336" s="447" t="s">
        <v>223</v>
      </c>
      <c r="I336" s="448" t="s">
        <v>221</v>
      </c>
      <c r="J336" s="447" t="s">
        <v>223</v>
      </c>
      <c r="K336" s="448" t="s">
        <v>221</v>
      </c>
      <c r="L336" s="77"/>
      <c r="M336" s="910" t="s">
        <v>96</v>
      </c>
      <c r="N336" s="911"/>
      <c r="O336" s="912"/>
      <c r="P336" s="187" t="s">
        <v>25</v>
      </c>
    </row>
    <row r="337" spans="2:16" ht="15" customHeight="1">
      <c r="B337" s="188" t="s">
        <v>12</v>
      </c>
      <c r="C337" s="160" t="s">
        <v>79</v>
      </c>
      <c r="D337" s="161" t="s">
        <v>12</v>
      </c>
      <c r="E337" s="97"/>
      <c r="F337" s="100" t="str">
        <f>$F$10</f>
        <v>kW*Yrs</v>
      </c>
      <c r="G337" s="99" t="str">
        <f>$G$10</f>
        <v>kWh</v>
      </c>
      <c r="H337" s="100" t="str">
        <f>$H$10</f>
        <v>kW*Yrs</v>
      </c>
      <c r="I337" s="99" t="str">
        <f>$I$10</f>
        <v>kWh</v>
      </c>
      <c r="J337" s="101" t="str">
        <f>$J$10</f>
        <v>kW*Yrs</v>
      </c>
      <c r="K337" s="102" t="str">
        <f>$K$10</f>
        <v>kWh</v>
      </c>
      <c r="L337" s="103"/>
      <c r="M337" s="162" t="s">
        <v>53</v>
      </c>
      <c r="N337" s="163" t="s">
        <v>24</v>
      </c>
      <c r="O337" s="163" t="s">
        <v>83</v>
      </c>
      <c r="P337" s="189" t="s">
        <v>29</v>
      </c>
    </row>
    <row r="338" spans="2:16" ht="15" customHeight="1">
      <c r="B338" s="190">
        <f ca="1">INDIRECT("A2!"&amp;"D"&amp;VLOOKUP("Budget",'A2'!$M$3:$N$6,2,FALSE)+Q333)</f>
        <v>0</v>
      </c>
      <c r="C338" s="164">
        <f ca="1">INDIRECT("A2!"&amp;"E"&amp;VLOOKUP("Budget",'A2'!$M$3:$N$6,2,FALSE)+Q333)</f>
        <v>0</v>
      </c>
      <c r="D338" s="165" t="str">
        <f ca="1">IF(ISERROR(C338/B338),"-",(C338/B338))</f>
        <v>-</v>
      </c>
      <c r="E338" s="166"/>
      <c r="F338" s="167">
        <f ca="1">INDIRECT("A2!"&amp;"D"&amp;VLOOKUP("Demand",'A2'!$M$3:$N$6,2,FALSE)+Q333)</f>
        <v>0</v>
      </c>
      <c r="G338" s="168">
        <f ca="1">INDIRECT("A2!"&amp;"D"&amp;VLOOKUP("Energy",'A2'!$M$3:$N$6,2,FALSE)+Q333)</f>
        <v>0</v>
      </c>
      <c r="H338" s="167">
        <f ca="1">INDIRECT("A2!"&amp;"E"&amp;VLOOKUP("Demand",'A2'!$M$3:$N$6,2,FALSE)+Q333)</f>
        <v>0</v>
      </c>
      <c r="I338" s="168">
        <f ca="1">INDIRECT("A2!"&amp;"E"&amp;VLOOKUP("Energy",'A2'!$M$3:$N$6,2,FALSE)+Q333)</f>
        <v>0</v>
      </c>
      <c r="J338" s="169" t="str">
        <f ca="1">IF(ISERROR(H338/F338),"-",(H338/F338))</f>
        <v>-</v>
      </c>
      <c r="K338" s="170" t="str">
        <f ca="1">IF(ISERROR(I338/G338),"-",(I338/G338))</f>
        <v>-</v>
      </c>
      <c r="L338" s="171"/>
      <c r="M338" s="172">
        <f ca="1">INDIRECT("A2!"&amp;"C"&amp;VLOOKUP("Participant",'A2'!$M$3:$N$6,2,FALSE)+Q333)</f>
        <v>0</v>
      </c>
      <c r="N338" s="172">
        <f ca="1">INDIRECT("A2!"&amp;"D"&amp;VLOOKUP("Participant",'A2'!$M$3:$N$6,2,FALSE)+Q333)</f>
        <v>0</v>
      </c>
      <c r="O338" s="172">
        <f ca="1">INDIRECT("A2!"&amp;"E"&amp;VLOOKUP("Participant",'A2'!$M$3:$N$6,2,FALSE)+Q333)</f>
        <v>0</v>
      </c>
      <c r="P338" s="191" t="str">
        <f ca="1">IF(ISERROR(N338/M338),"-",(N338/M338))</f>
        <v>-</v>
      </c>
    </row>
    <row r="339" spans="2:16" ht="15" customHeight="1">
      <c r="B339" s="183"/>
      <c r="C339" s="94"/>
      <c r="D339" s="94"/>
      <c r="E339" s="37"/>
      <c r="F339" s="94"/>
      <c r="G339" s="94"/>
      <c r="H339" s="94"/>
      <c r="I339" s="94"/>
      <c r="J339" s="94"/>
      <c r="K339" s="94"/>
      <c r="L339" s="37"/>
      <c r="M339" s="94"/>
      <c r="N339" s="23"/>
      <c r="O339" s="23"/>
      <c r="P339" s="184"/>
    </row>
    <row r="340" spans="2:16" ht="15" customHeight="1">
      <c r="B340" s="913">
        <f>$B$13</f>
        <v>2009</v>
      </c>
      <c r="C340" s="914"/>
      <c r="D340" s="96"/>
      <c r="E340" s="77"/>
      <c r="F340" s="907" t="s">
        <v>77</v>
      </c>
      <c r="G340" s="909"/>
      <c r="H340" s="907" t="s">
        <v>75</v>
      </c>
      <c r="I340" s="909"/>
      <c r="J340" s="907" t="s">
        <v>78</v>
      </c>
      <c r="K340" s="909"/>
      <c r="L340" s="77"/>
      <c r="M340" s="907">
        <f>B340</f>
        <v>2009</v>
      </c>
      <c r="N340" s="908"/>
      <c r="O340" s="909"/>
      <c r="P340" s="185"/>
    </row>
    <row r="341" spans="2:16" ht="15" customHeight="1">
      <c r="B341" s="186" t="s">
        <v>76</v>
      </c>
      <c r="C341" s="97" t="s">
        <v>24</v>
      </c>
      <c r="D341" s="98" t="s">
        <v>25</v>
      </c>
      <c r="E341" s="97"/>
      <c r="F341" s="447" t="s">
        <v>223</v>
      </c>
      <c r="G341" s="448" t="s">
        <v>221</v>
      </c>
      <c r="H341" s="447" t="s">
        <v>223</v>
      </c>
      <c r="I341" s="448" t="s">
        <v>221</v>
      </c>
      <c r="J341" s="447" t="s">
        <v>223</v>
      </c>
      <c r="K341" s="448" t="s">
        <v>221</v>
      </c>
      <c r="L341" s="77"/>
      <c r="M341" s="910" t="s">
        <v>96</v>
      </c>
      <c r="N341" s="911"/>
      <c r="O341" s="912"/>
      <c r="P341" s="187" t="s">
        <v>25</v>
      </c>
    </row>
    <row r="342" spans="2:16" ht="15" customHeight="1">
      <c r="B342" s="188" t="s">
        <v>12</v>
      </c>
      <c r="C342" s="160" t="s">
        <v>79</v>
      </c>
      <c r="D342" s="161" t="s">
        <v>12</v>
      </c>
      <c r="E342" s="97"/>
      <c r="F342" s="100" t="str">
        <f>$F$10</f>
        <v>kW*Yrs</v>
      </c>
      <c r="G342" s="99" t="str">
        <f>$G$10</f>
        <v>kWh</v>
      </c>
      <c r="H342" s="100" t="str">
        <f>$H$10</f>
        <v>kW*Yrs</v>
      </c>
      <c r="I342" s="99" t="str">
        <f>$I$10</f>
        <v>kWh</v>
      </c>
      <c r="J342" s="101" t="str">
        <f>$J$10</f>
        <v>kW*Yrs</v>
      </c>
      <c r="K342" s="102" t="str">
        <f>$K$10</f>
        <v>kWh</v>
      </c>
      <c r="L342" s="103"/>
      <c r="M342" s="162" t="s">
        <v>53</v>
      </c>
      <c r="N342" s="163" t="s">
        <v>24</v>
      </c>
      <c r="O342" s="163" t="s">
        <v>83</v>
      </c>
      <c r="P342" s="189" t="s">
        <v>29</v>
      </c>
    </row>
    <row r="343" spans="2:16" ht="15" customHeight="1">
      <c r="B343" s="190">
        <f ca="1">INDIRECT("A2!"&amp;"F"&amp;VLOOKUP("Budget",'A2'!$M$3:$N$6,2,FALSE)+Q333)</f>
        <v>0</v>
      </c>
      <c r="C343" s="164">
        <f ca="1">INDIRECT("A2!"&amp;"G"&amp;VLOOKUP("Budget",'A2'!$M$3:$N$6,2,FALSE)+Q333)</f>
        <v>0</v>
      </c>
      <c r="D343" s="165" t="str">
        <f ca="1">IF(ISERROR(C343/B343),"-",(C343/B343))</f>
        <v>-</v>
      </c>
      <c r="E343" s="166"/>
      <c r="F343" s="167">
        <f ca="1">INDIRECT("A2!"&amp;"F"&amp;VLOOKUP("Demand",'A2'!$M$3:$N$6,2,FALSE)+Q333)</f>
        <v>0</v>
      </c>
      <c r="G343" s="168">
        <f ca="1">INDIRECT("A2!"&amp;"F"&amp;VLOOKUP("Energy",'A2'!$M$3:$N$6,2,FALSE)+Q333)</f>
        <v>0</v>
      </c>
      <c r="H343" s="167">
        <f ca="1">INDIRECT("A2!"&amp;"G"&amp;VLOOKUP("Demand",'A2'!$M$3:$N$6,2,FALSE)+Q333)</f>
        <v>0</v>
      </c>
      <c r="I343" s="168">
        <f ca="1">INDIRECT("A2!"&amp;"G"&amp;VLOOKUP("Energy",'A2'!$M$3:$N$6,2,FALSE)+Q333)</f>
        <v>0</v>
      </c>
      <c r="J343" s="169" t="str">
        <f ca="1">IF(ISERROR(H343/F343),"-",(H343/F343))</f>
        <v>-</v>
      </c>
      <c r="K343" s="170" t="str">
        <f ca="1">IF(ISERROR(I343/G343),"-",(I343/G343))</f>
        <v>-</v>
      </c>
      <c r="L343" s="171"/>
      <c r="M343" s="172">
        <f ca="1">INDIRECT("A2!"&amp;"F"&amp;VLOOKUP("Participant",'A2'!$M$3:$N$6,2,FALSE)+Q333)</f>
        <v>0</v>
      </c>
      <c r="N343" s="172">
        <f ca="1">INDIRECT("A2!"&amp;"G"&amp;VLOOKUP("Participant",'A2'!$M$3:$N$6,2,FALSE)+Q333)</f>
        <v>0</v>
      </c>
      <c r="O343" s="172">
        <f ca="1">INDIRECT("A2!"&amp;"H"&amp;VLOOKUP("Participant",'A2'!$M$3:$N$6,2,FALSE)+Q333)</f>
        <v>0</v>
      </c>
      <c r="P343" s="191" t="str">
        <f ca="1">IF(ISERROR(N343/M343),"-",(N343/M343))</f>
        <v>-</v>
      </c>
    </row>
    <row r="344" spans="2:16" ht="15" customHeight="1">
      <c r="B344" s="192"/>
      <c r="C344" s="37"/>
      <c r="D344" s="37"/>
      <c r="E344" s="37"/>
      <c r="F344" s="37"/>
      <c r="G344" s="37"/>
      <c r="H344" s="37"/>
      <c r="I344" s="37"/>
      <c r="J344" s="37"/>
      <c r="K344" s="37"/>
      <c r="L344" s="37"/>
      <c r="M344" s="37"/>
      <c r="N344" s="77"/>
      <c r="O344" s="77"/>
      <c r="P344" s="193"/>
    </row>
    <row r="345" spans="2:16" ht="15" customHeight="1">
      <c r="B345" s="913">
        <f>$B$18</f>
        <v>2010</v>
      </c>
      <c r="C345" s="914"/>
      <c r="D345" s="96"/>
      <c r="E345" s="77"/>
      <c r="F345" s="907" t="s">
        <v>77</v>
      </c>
      <c r="G345" s="909"/>
      <c r="H345" s="907" t="s">
        <v>75</v>
      </c>
      <c r="I345" s="909"/>
      <c r="J345" s="907" t="s">
        <v>78</v>
      </c>
      <c r="K345" s="909"/>
      <c r="L345" s="77"/>
      <c r="M345" s="907">
        <f>B345</f>
        <v>2010</v>
      </c>
      <c r="N345" s="908"/>
      <c r="O345" s="909"/>
      <c r="P345" s="185"/>
    </row>
    <row r="346" spans="2:16" ht="15" customHeight="1">
      <c r="B346" s="186" t="s">
        <v>76</v>
      </c>
      <c r="C346" s="97" t="s">
        <v>24</v>
      </c>
      <c r="D346" s="98" t="s">
        <v>25</v>
      </c>
      <c r="E346" s="97"/>
      <c r="F346" s="447" t="s">
        <v>223</v>
      </c>
      <c r="G346" s="448" t="s">
        <v>221</v>
      </c>
      <c r="H346" s="447" t="s">
        <v>223</v>
      </c>
      <c r="I346" s="448" t="s">
        <v>221</v>
      </c>
      <c r="J346" s="447" t="s">
        <v>223</v>
      </c>
      <c r="K346" s="448" t="s">
        <v>221</v>
      </c>
      <c r="L346" s="77"/>
      <c r="M346" s="910" t="s">
        <v>96</v>
      </c>
      <c r="N346" s="911"/>
      <c r="O346" s="912"/>
      <c r="P346" s="187" t="s">
        <v>25</v>
      </c>
    </row>
    <row r="347" spans="2:16" ht="15" customHeight="1">
      <c r="B347" s="188" t="s">
        <v>12</v>
      </c>
      <c r="C347" s="160" t="s">
        <v>79</v>
      </c>
      <c r="D347" s="161" t="s">
        <v>12</v>
      </c>
      <c r="E347" s="97"/>
      <c r="F347" s="100" t="str">
        <f>$F$10</f>
        <v>kW*Yrs</v>
      </c>
      <c r="G347" s="99" t="str">
        <f>$G$10</f>
        <v>kWh</v>
      </c>
      <c r="H347" s="100" t="str">
        <f>$H$10</f>
        <v>kW*Yrs</v>
      </c>
      <c r="I347" s="99" t="str">
        <f>$I$10</f>
        <v>kWh</v>
      </c>
      <c r="J347" s="101" t="str">
        <f>$J$10</f>
        <v>kW*Yrs</v>
      </c>
      <c r="K347" s="102" t="str">
        <f>$K$10</f>
        <v>kWh</v>
      </c>
      <c r="L347" s="103"/>
      <c r="M347" s="162" t="s">
        <v>53</v>
      </c>
      <c r="N347" s="163" t="s">
        <v>24</v>
      </c>
      <c r="O347" s="163" t="s">
        <v>83</v>
      </c>
      <c r="P347" s="189" t="s">
        <v>29</v>
      </c>
    </row>
    <row r="348" spans="2:16" ht="15" customHeight="1">
      <c r="B348" s="190">
        <f ca="1">INDIRECT("A2!"&amp;"H"&amp;VLOOKUP("Budget",'A2'!$M$3:$N$6,2,FALSE)+Q333)</f>
        <v>0</v>
      </c>
      <c r="C348" s="164">
        <f ca="1">INDIRECT("A2!"&amp;"I"&amp;VLOOKUP("Budget",'A2'!$M$3:$N$6,2,FALSE)+Q333)</f>
        <v>0</v>
      </c>
      <c r="D348" s="165" t="str">
        <f ca="1">IF(ISERROR(C348/B348),"-",(C348/B348))</f>
        <v>-</v>
      </c>
      <c r="E348" s="166"/>
      <c r="F348" s="167">
        <f ca="1">INDIRECT("A2!"&amp;"H"&amp;VLOOKUP("Demand",'A2'!$M$3:$N$6,2,FALSE)+Q333)</f>
        <v>0</v>
      </c>
      <c r="G348" s="168">
        <f ca="1">INDIRECT("A2!"&amp;"H"&amp;VLOOKUP("Energy",'A2'!$M$3:$N$6,2,FALSE)+Q333)</f>
        <v>0</v>
      </c>
      <c r="H348" s="167">
        <f ca="1">INDIRECT("A2!"&amp;"I"&amp;VLOOKUP("Demand",'A2'!$M$3:$N$6,2,FALSE)+Q333)</f>
        <v>0</v>
      </c>
      <c r="I348" s="168">
        <f ca="1">INDIRECT("A2!"&amp;"I"&amp;VLOOKUP("Energy",'A2'!$M$3:$N$6,2,FALSE)+Q333)</f>
        <v>0</v>
      </c>
      <c r="J348" s="169" t="str">
        <f ca="1">IF(ISERROR(H348/F348),"-",(H348/F348))</f>
        <v>-</v>
      </c>
      <c r="K348" s="170" t="str">
        <f ca="1">IF(ISERROR(I348/G348),"-",(I348/G348))</f>
        <v>-</v>
      </c>
      <c r="L348" s="171"/>
      <c r="M348" s="172">
        <f ca="1">INDIRECT("A2!"&amp;"I"&amp;VLOOKUP("Participant",'A2'!$M$3:$N$6,2,FALSE)+Q333)</f>
        <v>0</v>
      </c>
      <c r="N348" s="172">
        <f ca="1">INDIRECT("A2!"&amp;"J"&amp;VLOOKUP("Participant",'A2'!$M$3:$N$6,2,FALSE)+Q333)</f>
        <v>0</v>
      </c>
      <c r="O348" s="172">
        <f ca="1">INDIRECT("A2!"&amp;"K"&amp;VLOOKUP("Participant",'A2'!$M$3:$N$6,2,FALSE)+Q333)</f>
        <v>0</v>
      </c>
      <c r="P348" s="191" t="str">
        <f ca="1">IF(ISERROR(N348/M348),"-",(N348/M348))</f>
        <v>-</v>
      </c>
    </row>
    <row r="349" spans="2:16" ht="15" customHeight="1">
      <c r="B349" s="194"/>
      <c r="C349" s="22"/>
      <c r="D349" s="22"/>
      <c r="E349" s="42"/>
      <c r="F349" s="22"/>
      <c r="G349" s="22"/>
      <c r="H349" s="22"/>
      <c r="I349" s="22"/>
      <c r="J349" s="22"/>
      <c r="K349" s="22"/>
      <c r="L349" s="42"/>
      <c r="M349" s="22"/>
      <c r="N349" s="22"/>
      <c r="O349" s="22"/>
      <c r="P349" s="184"/>
    </row>
    <row r="350" spans="2:16" ht="15" customHeight="1">
      <c r="B350" s="915" t="s">
        <v>80</v>
      </c>
      <c r="C350" s="916"/>
      <c r="D350" s="96"/>
      <c r="E350" s="77"/>
      <c r="F350" s="907" t="s">
        <v>77</v>
      </c>
      <c r="G350" s="909"/>
      <c r="H350" s="907" t="s">
        <v>75</v>
      </c>
      <c r="I350" s="909"/>
      <c r="J350" s="907" t="s">
        <v>78</v>
      </c>
      <c r="K350" s="909"/>
      <c r="L350" s="77"/>
      <c r="M350" s="907" t="str">
        <f>B335&amp;" - "&amp;B345</f>
        <v>2008 - 2010</v>
      </c>
      <c r="N350" s="908"/>
      <c r="O350" s="909"/>
      <c r="P350" s="185"/>
    </row>
    <row r="351" spans="2:16" ht="15" customHeight="1">
      <c r="B351" s="186" t="s">
        <v>76</v>
      </c>
      <c r="C351" s="97" t="s">
        <v>24</v>
      </c>
      <c r="D351" s="98" t="s">
        <v>25</v>
      </c>
      <c r="E351" s="97"/>
      <c r="F351" s="447" t="s">
        <v>223</v>
      </c>
      <c r="G351" s="448" t="s">
        <v>221</v>
      </c>
      <c r="H351" s="447" t="s">
        <v>223</v>
      </c>
      <c r="I351" s="448" t="s">
        <v>221</v>
      </c>
      <c r="J351" s="447" t="s">
        <v>223</v>
      </c>
      <c r="K351" s="448" t="s">
        <v>221</v>
      </c>
      <c r="L351" s="77"/>
      <c r="M351" s="910" t="s">
        <v>96</v>
      </c>
      <c r="N351" s="911"/>
      <c r="O351" s="912"/>
      <c r="P351" s="187" t="s">
        <v>25</v>
      </c>
    </row>
    <row r="352" spans="2:16" ht="15" customHeight="1">
      <c r="B352" s="188" t="s">
        <v>12</v>
      </c>
      <c r="C352" s="160" t="s">
        <v>79</v>
      </c>
      <c r="D352" s="161" t="s">
        <v>12</v>
      </c>
      <c r="E352" s="97"/>
      <c r="F352" s="100" t="str">
        <f>$F$10</f>
        <v>kW*Yrs</v>
      </c>
      <c r="G352" s="99" t="str">
        <f>$G$10</f>
        <v>kWh</v>
      </c>
      <c r="H352" s="100" t="str">
        <f>$H$10</f>
        <v>kW*Yrs</v>
      </c>
      <c r="I352" s="99" t="str">
        <f>$I$10</f>
        <v>kWh</v>
      </c>
      <c r="J352" s="101" t="str">
        <f>$J$10</f>
        <v>kW*Yrs</v>
      </c>
      <c r="K352" s="102" t="str">
        <f>$K$10</f>
        <v>kWh</v>
      </c>
      <c r="L352" s="103"/>
      <c r="M352" s="162" t="s">
        <v>53</v>
      </c>
      <c r="N352" s="163" t="s">
        <v>24</v>
      </c>
      <c r="O352" s="163" t="s">
        <v>83</v>
      </c>
      <c r="P352" s="189" t="s">
        <v>29</v>
      </c>
    </row>
    <row r="353" spans="2:17" ht="15" customHeight="1">
      <c r="B353" s="466">
        <f ca="1">IF(ISERROR(AVERAGE(B338,B343,B348)),"-",AVERAGE(B338,B343,B348))</f>
        <v>0</v>
      </c>
      <c r="C353" s="164">
        <f ca="1">IF(ISERROR(AVERAGE(C338,C343,C348)),"-",AVERAGE(C338,C343,C348))</f>
        <v>0</v>
      </c>
      <c r="D353" s="165" t="str">
        <f ca="1">IF(ISERROR(C353/B353),"-",(C353/B353))</f>
        <v>-</v>
      </c>
      <c r="E353" s="166"/>
      <c r="F353" s="167">
        <f ca="1">IF(ISERROR(AVERAGE(F338,F343,F348)),"-",AVERAGE(F338,F343,F348))</f>
        <v>0</v>
      </c>
      <c r="G353" s="168">
        <f ca="1">IF(ISERROR(AVERAGE(G338,G343,G348)),"-",AVERAGE(G338,G343,G348))</f>
        <v>0</v>
      </c>
      <c r="H353" s="167">
        <f ca="1">IF(ISERROR(AVERAGE(H338,H343,H348)),"-",AVERAGE(H338,H343,H348))</f>
        <v>0</v>
      </c>
      <c r="I353" s="168">
        <f ca="1">IF(ISERROR(AVERAGE(I338,I343,I348)),"-",AVERAGE(I338,I343,I348))</f>
        <v>0</v>
      </c>
      <c r="J353" s="169" t="str">
        <f ca="1">IF(ISERROR(H353/F353),"-",(H353/F353))</f>
        <v>-</v>
      </c>
      <c r="K353" s="170" t="str">
        <f ca="1">IF(ISERROR(I353/G353),"-",(I353/G353))</f>
        <v>-</v>
      </c>
      <c r="L353" s="171"/>
      <c r="M353" s="172">
        <f ca="1">IF(ISERROR(AVERAGE(M338,M343,M348)),"-",AVERAGE(M338,M343,M348))</f>
        <v>0</v>
      </c>
      <c r="N353" s="172">
        <f ca="1">IF(ISERROR(AVERAGE(N338,N343,N348)),"-",AVERAGE(N338,N343,N348))</f>
        <v>0</v>
      </c>
      <c r="O353" s="172">
        <f ca="1">IF(ISERROR(AVERAGE(O338,O343,O348)),"-",AVERAGE(O338,O343,O348))</f>
        <v>0</v>
      </c>
      <c r="P353" s="467" t="str">
        <f ca="1">IF(ISERROR(N353/M353),"-",(N353/M353))</f>
        <v>-</v>
      </c>
    </row>
    <row r="354" spans="2:17" ht="15" customHeight="1">
      <c r="B354" s="200"/>
      <c r="C354" s="22"/>
      <c r="D354" s="22"/>
      <c r="E354" s="42"/>
      <c r="F354" s="22"/>
      <c r="G354" s="22"/>
      <c r="H354" s="22"/>
      <c r="I354" s="22"/>
      <c r="J354" s="22"/>
      <c r="K354" s="22"/>
      <c r="L354" s="42"/>
      <c r="M354" s="22"/>
      <c r="N354" s="22"/>
      <c r="O354" s="22"/>
      <c r="P354" s="460"/>
    </row>
    <row r="355" spans="2:17" ht="15" customHeight="1" thickBot="1">
      <c r="B355" s="545" t="str">
        <f>$B$28</f>
        <v>*Lifetime Savings</v>
      </c>
      <c r="C355" s="209"/>
      <c r="D355" s="209"/>
      <c r="E355" s="470"/>
      <c r="F355" s="209"/>
      <c r="G355" s="209"/>
      <c r="H355" s="209"/>
      <c r="I355" s="209"/>
      <c r="J355" s="209"/>
      <c r="K355" s="209"/>
      <c r="L355" s="470"/>
      <c r="M355" s="209"/>
      <c r="N355" s="209"/>
      <c r="O355" s="209"/>
      <c r="P355" s="471"/>
    </row>
    <row r="357" spans="2:17" ht="15" customHeight="1" thickBot="1"/>
    <row r="358" spans="2:17" ht="15" customHeight="1">
      <c r="B358" s="917" t="str">
        <f ca="1">'A2'!A23</f>
        <v>Program 15</v>
      </c>
      <c r="C358" s="918"/>
      <c r="D358" s="918"/>
      <c r="E358" s="918"/>
      <c r="F358" s="918"/>
      <c r="G358" s="918"/>
      <c r="H358" s="918"/>
      <c r="I358" s="918"/>
      <c r="J358" s="918"/>
      <c r="K358" s="918"/>
      <c r="L358" s="918"/>
      <c r="M358" s="918"/>
      <c r="N358" s="918"/>
      <c r="O358" s="918"/>
      <c r="P358" s="919"/>
      <c r="Q358" s="76">
        <v>15</v>
      </c>
    </row>
    <row r="359" spans="2:17" ht="15" customHeight="1">
      <c r="B359" s="183"/>
      <c r="C359" s="94"/>
      <c r="D359" s="94"/>
      <c r="E359" s="95"/>
      <c r="F359" s="94"/>
      <c r="G359" s="94"/>
      <c r="H359" s="94"/>
      <c r="I359" s="94"/>
      <c r="J359" s="94"/>
      <c r="K359" s="94"/>
      <c r="L359" s="95"/>
      <c r="M359" s="94"/>
      <c r="N359" s="23"/>
      <c r="O359" s="23"/>
      <c r="P359" s="184"/>
    </row>
    <row r="360" spans="2:17" ht="15" customHeight="1">
      <c r="B360" s="913">
        <f>$B$8</f>
        <v>2008</v>
      </c>
      <c r="C360" s="914"/>
      <c r="D360" s="96"/>
      <c r="E360" s="77"/>
      <c r="F360" s="907" t="s">
        <v>77</v>
      </c>
      <c r="G360" s="909"/>
      <c r="H360" s="907" t="s">
        <v>75</v>
      </c>
      <c r="I360" s="909"/>
      <c r="J360" s="907" t="s">
        <v>78</v>
      </c>
      <c r="K360" s="909"/>
      <c r="L360" s="77"/>
      <c r="M360" s="907">
        <f>B360</f>
        <v>2008</v>
      </c>
      <c r="N360" s="908"/>
      <c r="O360" s="909"/>
      <c r="P360" s="185"/>
    </row>
    <row r="361" spans="2:17" ht="15" customHeight="1">
      <c r="B361" s="186" t="s">
        <v>76</v>
      </c>
      <c r="C361" s="97" t="s">
        <v>24</v>
      </c>
      <c r="D361" s="98" t="s">
        <v>25</v>
      </c>
      <c r="E361" s="97"/>
      <c r="F361" s="447" t="s">
        <v>223</v>
      </c>
      <c r="G361" s="448" t="s">
        <v>221</v>
      </c>
      <c r="H361" s="447" t="s">
        <v>223</v>
      </c>
      <c r="I361" s="448" t="s">
        <v>221</v>
      </c>
      <c r="J361" s="447" t="s">
        <v>223</v>
      </c>
      <c r="K361" s="448" t="s">
        <v>221</v>
      </c>
      <c r="L361" s="77"/>
      <c r="M361" s="910" t="s">
        <v>96</v>
      </c>
      <c r="N361" s="911"/>
      <c r="O361" s="912"/>
      <c r="P361" s="187" t="s">
        <v>25</v>
      </c>
    </row>
    <row r="362" spans="2:17" ht="15" customHeight="1">
      <c r="B362" s="188" t="s">
        <v>12</v>
      </c>
      <c r="C362" s="160" t="s">
        <v>79</v>
      </c>
      <c r="D362" s="161" t="s">
        <v>12</v>
      </c>
      <c r="E362" s="97"/>
      <c r="F362" s="100" t="str">
        <f>$F$10</f>
        <v>kW*Yrs</v>
      </c>
      <c r="G362" s="99" t="str">
        <f>$G$10</f>
        <v>kWh</v>
      </c>
      <c r="H362" s="100" t="str">
        <f>$H$10</f>
        <v>kW*Yrs</v>
      </c>
      <c r="I362" s="99" t="str">
        <f>$I$10</f>
        <v>kWh</v>
      </c>
      <c r="J362" s="101" t="str">
        <f>$J$10</f>
        <v>kW*Yrs</v>
      </c>
      <c r="K362" s="102" t="str">
        <f>$K$10</f>
        <v>kWh</v>
      </c>
      <c r="L362" s="103"/>
      <c r="M362" s="162" t="s">
        <v>53</v>
      </c>
      <c r="N362" s="163" t="s">
        <v>24</v>
      </c>
      <c r="O362" s="163" t="s">
        <v>83</v>
      </c>
      <c r="P362" s="189" t="s">
        <v>29</v>
      </c>
    </row>
    <row r="363" spans="2:17" ht="15" customHeight="1">
      <c r="B363" s="190">
        <f ca="1">INDIRECT("A2!"&amp;"D"&amp;VLOOKUP("Budget",'A2'!$M$3:$N$6,2,FALSE)+Q358)</f>
        <v>0</v>
      </c>
      <c r="C363" s="164">
        <f ca="1">INDIRECT("A2!"&amp;"E"&amp;VLOOKUP("Budget",'A2'!$M$3:$N$6,2,FALSE)+Q358)</f>
        <v>0</v>
      </c>
      <c r="D363" s="165" t="str">
        <f ca="1">IF(ISERROR(C363/B363),"-",(C363/B363))</f>
        <v>-</v>
      </c>
      <c r="E363" s="166"/>
      <c r="F363" s="167">
        <f ca="1">INDIRECT("A2!"&amp;"D"&amp;VLOOKUP("Demand",'A2'!$M$3:$N$6,2,FALSE)+Q358)</f>
        <v>0</v>
      </c>
      <c r="G363" s="168">
        <f ca="1">INDIRECT("A2!"&amp;"D"&amp;VLOOKUP("Energy",'A2'!$M$3:$N$6,2,FALSE)+Q358)</f>
        <v>0</v>
      </c>
      <c r="H363" s="167">
        <f ca="1">INDIRECT("A2!"&amp;"E"&amp;VLOOKUP("Demand",'A2'!$M$3:$N$6,2,FALSE)+Q358)</f>
        <v>0</v>
      </c>
      <c r="I363" s="168">
        <f ca="1">INDIRECT("A2!"&amp;"E"&amp;VLOOKUP("Energy",'A2'!$M$3:$N$6,2,FALSE)+Q358)</f>
        <v>0</v>
      </c>
      <c r="J363" s="169" t="str">
        <f ca="1">IF(ISERROR(H363/F363),"-",(H363/F363))</f>
        <v>-</v>
      </c>
      <c r="K363" s="170" t="str">
        <f ca="1">IF(ISERROR(I363/G363),"-",(I363/G363))</f>
        <v>-</v>
      </c>
      <c r="L363" s="171"/>
      <c r="M363" s="172">
        <f ca="1">INDIRECT("A2!"&amp;"C"&amp;VLOOKUP("Participant",'A2'!$M$3:$N$6,2,FALSE)+Q358)</f>
        <v>0</v>
      </c>
      <c r="N363" s="172">
        <f ca="1">INDIRECT("A2!"&amp;"D"&amp;VLOOKUP("Participant",'A2'!$M$3:$N$6,2,FALSE)+Q358)</f>
        <v>0</v>
      </c>
      <c r="O363" s="172">
        <f ca="1">INDIRECT("A2!"&amp;"E"&amp;VLOOKUP("Participant",'A2'!$M$3:$N$6,2,FALSE)+Q358)</f>
        <v>0</v>
      </c>
      <c r="P363" s="191" t="str">
        <f ca="1">IF(ISERROR(N363/M363),"-",(N363/M363))</f>
        <v>-</v>
      </c>
    </row>
    <row r="364" spans="2:17" ht="15" customHeight="1">
      <c r="B364" s="183"/>
      <c r="C364" s="94"/>
      <c r="D364" s="94"/>
      <c r="E364" s="37"/>
      <c r="F364" s="94"/>
      <c r="G364" s="94"/>
      <c r="H364" s="94"/>
      <c r="I364" s="94"/>
      <c r="J364" s="94"/>
      <c r="K364" s="94"/>
      <c r="L364" s="37"/>
      <c r="M364" s="94"/>
      <c r="N364" s="23"/>
      <c r="O364" s="23"/>
      <c r="P364" s="184"/>
    </row>
    <row r="365" spans="2:17" ht="15" customHeight="1">
      <c r="B365" s="913">
        <f>$B$13</f>
        <v>2009</v>
      </c>
      <c r="C365" s="914"/>
      <c r="D365" s="96"/>
      <c r="E365" s="77"/>
      <c r="F365" s="907" t="s">
        <v>77</v>
      </c>
      <c r="G365" s="909"/>
      <c r="H365" s="907" t="s">
        <v>75</v>
      </c>
      <c r="I365" s="909"/>
      <c r="J365" s="907" t="s">
        <v>78</v>
      </c>
      <c r="K365" s="909"/>
      <c r="L365" s="77"/>
      <c r="M365" s="907">
        <f>B365</f>
        <v>2009</v>
      </c>
      <c r="N365" s="908"/>
      <c r="O365" s="909"/>
      <c r="P365" s="185"/>
    </row>
    <row r="366" spans="2:17" ht="15" customHeight="1">
      <c r="B366" s="186" t="s">
        <v>76</v>
      </c>
      <c r="C366" s="97" t="s">
        <v>24</v>
      </c>
      <c r="D366" s="98" t="s">
        <v>25</v>
      </c>
      <c r="E366" s="97"/>
      <c r="F366" s="447" t="s">
        <v>223</v>
      </c>
      <c r="G366" s="448" t="s">
        <v>221</v>
      </c>
      <c r="H366" s="447" t="s">
        <v>223</v>
      </c>
      <c r="I366" s="448" t="s">
        <v>221</v>
      </c>
      <c r="J366" s="447" t="s">
        <v>223</v>
      </c>
      <c r="K366" s="448" t="s">
        <v>221</v>
      </c>
      <c r="L366" s="77"/>
      <c r="M366" s="910" t="s">
        <v>96</v>
      </c>
      <c r="N366" s="911"/>
      <c r="O366" s="912"/>
      <c r="P366" s="187" t="s">
        <v>25</v>
      </c>
    </row>
    <row r="367" spans="2:17" ht="15" customHeight="1">
      <c r="B367" s="188" t="s">
        <v>12</v>
      </c>
      <c r="C367" s="160" t="s">
        <v>79</v>
      </c>
      <c r="D367" s="161" t="s">
        <v>12</v>
      </c>
      <c r="E367" s="97"/>
      <c r="F367" s="100" t="str">
        <f>$F$10</f>
        <v>kW*Yrs</v>
      </c>
      <c r="G367" s="99" t="str">
        <f>$G$10</f>
        <v>kWh</v>
      </c>
      <c r="H367" s="100" t="str">
        <f>$H$10</f>
        <v>kW*Yrs</v>
      </c>
      <c r="I367" s="99" t="str">
        <f>$I$10</f>
        <v>kWh</v>
      </c>
      <c r="J367" s="101" t="str">
        <f>$J$10</f>
        <v>kW*Yrs</v>
      </c>
      <c r="K367" s="102" t="str">
        <f>$K$10</f>
        <v>kWh</v>
      </c>
      <c r="L367" s="103"/>
      <c r="M367" s="162" t="s">
        <v>53</v>
      </c>
      <c r="N367" s="163" t="s">
        <v>24</v>
      </c>
      <c r="O367" s="163" t="s">
        <v>83</v>
      </c>
      <c r="P367" s="189" t="s">
        <v>29</v>
      </c>
    </row>
    <row r="368" spans="2:17" ht="15" customHeight="1">
      <c r="B368" s="190">
        <f ca="1">INDIRECT("A2!"&amp;"F"&amp;VLOOKUP("Budget",'A2'!$M$3:$N$6,2,FALSE)+Q358)</f>
        <v>0</v>
      </c>
      <c r="C368" s="164">
        <f ca="1">INDIRECT("A2!"&amp;"G"&amp;VLOOKUP("Budget",'A2'!$M$3:$N$6,2,FALSE)+Q358)</f>
        <v>0</v>
      </c>
      <c r="D368" s="165" t="str">
        <f ca="1">IF(ISERROR(C368/B368),"-",(C368/B368))</f>
        <v>-</v>
      </c>
      <c r="E368" s="166"/>
      <c r="F368" s="167">
        <f ca="1">INDIRECT("A2!"&amp;"F"&amp;VLOOKUP("Demand",'A2'!$M$3:$N$6,2,FALSE)+Q358)</f>
        <v>0</v>
      </c>
      <c r="G368" s="168">
        <f ca="1">INDIRECT("A2!"&amp;"F"&amp;VLOOKUP("Energy",'A2'!$M$3:$N$6,2,FALSE)+Q358)</f>
        <v>0</v>
      </c>
      <c r="H368" s="167">
        <f ca="1">INDIRECT("A2!"&amp;"G"&amp;VLOOKUP("Demand",'A2'!$M$3:$N$6,2,FALSE)+Q358)</f>
        <v>0</v>
      </c>
      <c r="I368" s="168">
        <f ca="1">INDIRECT("A2!"&amp;"G"&amp;VLOOKUP("Energy",'A2'!$M$3:$N$6,2,FALSE)+Q358)</f>
        <v>0</v>
      </c>
      <c r="J368" s="169" t="str">
        <f ca="1">IF(ISERROR(H368/F368),"-",(H368/F368))</f>
        <v>-</v>
      </c>
      <c r="K368" s="170" t="str">
        <f ca="1">IF(ISERROR(I368/G368),"-",(I368/G368))</f>
        <v>-</v>
      </c>
      <c r="L368" s="171"/>
      <c r="M368" s="172">
        <f ca="1">INDIRECT("A2!"&amp;"F"&amp;VLOOKUP("Participant",'A2'!$M$3:$N$6,2,FALSE)+Q358)</f>
        <v>0</v>
      </c>
      <c r="N368" s="172">
        <f ca="1">INDIRECT("A2!"&amp;"G"&amp;VLOOKUP("Participant",'A2'!$M$3:$N$6,2,FALSE)+Q358)</f>
        <v>0</v>
      </c>
      <c r="O368" s="172">
        <f ca="1">INDIRECT("A2!"&amp;"H"&amp;VLOOKUP("Participant",'A2'!$M$3:$N$6,2,FALSE)+Q358)</f>
        <v>0</v>
      </c>
      <c r="P368" s="191" t="str">
        <f ca="1">IF(ISERROR(N368/M368),"-",(N368/M368))</f>
        <v>-</v>
      </c>
    </row>
    <row r="369" spans="2:16" ht="15" customHeight="1">
      <c r="B369" s="192"/>
      <c r="C369" s="37"/>
      <c r="D369" s="37"/>
      <c r="E369" s="37"/>
      <c r="F369" s="37"/>
      <c r="G369" s="37"/>
      <c r="H369" s="37"/>
      <c r="I369" s="37"/>
      <c r="J369" s="37"/>
      <c r="K369" s="37"/>
      <c r="L369" s="37"/>
      <c r="M369" s="37"/>
      <c r="N369" s="77"/>
      <c r="O369" s="77"/>
      <c r="P369" s="193"/>
    </row>
    <row r="370" spans="2:16" ht="15" customHeight="1">
      <c r="B370" s="913">
        <f>$B$18</f>
        <v>2010</v>
      </c>
      <c r="C370" s="914"/>
      <c r="D370" s="96"/>
      <c r="E370" s="77"/>
      <c r="F370" s="907" t="s">
        <v>77</v>
      </c>
      <c r="G370" s="909"/>
      <c r="H370" s="907" t="s">
        <v>75</v>
      </c>
      <c r="I370" s="909"/>
      <c r="J370" s="907" t="s">
        <v>78</v>
      </c>
      <c r="K370" s="909"/>
      <c r="L370" s="77"/>
      <c r="M370" s="907">
        <f>B370</f>
        <v>2010</v>
      </c>
      <c r="N370" s="908"/>
      <c r="O370" s="909"/>
      <c r="P370" s="185"/>
    </row>
    <row r="371" spans="2:16" ht="15" customHeight="1">
      <c r="B371" s="186" t="s">
        <v>76</v>
      </c>
      <c r="C371" s="97" t="s">
        <v>24</v>
      </c>
      <c r="D371" s="98" t="s">
        <v>25</v>
      </c>
      <c r="E371" s="97"/>
      <c r="F371" s="447" t="s">
        <v>223</v>
      </c>
      <c r="G371" s="448" t="s">
        <v>221</v>
      </c>
      <c r="H371" s="447" t="s">
        <v>223</v>
      </c>
      <c r="I371" s="448" t="s">
        <v>221</v>
      </c>
      <c r="J371" s="447" t="s">
        <v>223</v>
      </c>
      <c r="K371" s="448" t="s">
        <v>221</v>
      </c>
      <c r="L371" s="77"/>
      <c r="M371" s="910" t="s">
        <v>96</v>
      </c>
      <c r="N371" s="911"/>
      <c r="O371" s="912"/>
      <c r="P371" s="187" t="s">
        <v>25</v>
      </c>
    </row>
    <row r="372" spans="2:16" ht="15" customHeight="1">
      <c r="B372" s="188" t="s">
        <v>12</v>
      </c>
      <c r="C372" s="160" t="s">
        <v>79</v>
      </c>
      <c r="D372" s="161" t="s">
        <v>12</v>
      </c>
      <c r="E372" s="97"/>
      <c r="F372" s="100" t="str">
        <f>$F$10</f>
        <v>kW*Yrs</v>
      </c>
      <c r="G372" s="99" t="str">
        <f>$G$10</f>
        <v>kWh</v>
      </c>
      <c r="H372" s="100" t="str">
        <f>$H$10</f>
        <v>kW*Yrs</v>
      </c>
      <c r="I372" s="99" t="str">
        <f>$I$10</f>
        <v>kWh</v>
      </c>
      <c r="J372" s="101" t="str">
        <f>$J$10</f>
        <v>kW*Yrs</v>
      </c>
      <c r="K372" s="102" t="str">
        <f>$K$10</f>
        <v>kWh</v>
      </c>
      <c r="L372" s="103"/>
      <c r="M372" s="162" t="s">
        <v>53</v>
      </c>
      <c r="N372" s="163" t="s">
        <v>24</v>
      </c>
      <c r="O372" s="163" t="s">
        <v>83</v>
      </c>
      <c r="P372" s="189" t="s">
        <v>29</v>
      </c>
    </row>
    <row r="373" spans="2:16" ht="15" customHeight="1">
      <c r="B373" s="190">
        <f ca="1">INDIRECT("A2!"&amp;"H"&amp;VLOOKUP("Budget",'A2'!$M$3:$N$6,2,FALSE)+Q358)</f>
        <v>0</v>
      </c>
      <c r="C373" s="164">
        <f ca="1">INDIRECT("A2!"&amp;"I"&amp;VLOOKUP("Budget",'A2'!$M$3:$N$6,2,FALSE)+Q358)</f>
        <v>0</v>
      </c>
      <c r="D373" s="165" t="str">
        <f ca="1">IF(ISERROR(C373/B373),"-",(C373/B373))</f>
        <v>-</v>
      </c>
      <c r="E373" s="166"/>
      <c r="F373" s="167">
        <f ca="1">INDIRECT("A2!"&amp;"H"&amp;VLOOKUP("Demand",'A2'!$M$3:$N$6,2,FALSE)+Q358)</f>
        <v>0</v>
      </c>
      <c r="G373" s="168">
        <f ca="1">INDIRECT("A2!"&amp;"H"&amp;VLOOKUP("Energy",'A2'!$M$3:$N$6,2,FALSE)+Q358)</f>
        <v>0</v>
      </c>
      <c r="H373" s="167">
        <f ca="1">INDIRECT("A2!"&amp;"I"&amp;VLOOKUP("Demand",'A2'!$M$3:$N$6,2,FALSE)+Q358)</f>
        <v>0</v>
      </c>
      <c r="I373" s="168">
        <f ca="1">INDIRECT("A2!"&amp;"I"&amp;VLOOKUP("Energy",'A2'!$M$3:$N$6,2,FALSE)+Q358)</f>
        <v>0</v>
      </c>
      <c r="J373" s="169" t="str">
        <f ca="1">IF(ISERROR(H373/F373),"-",(H373/F373))</f>
        <v>-</v>
      </c>
      <c r="K373" s="170" t="str">
        <f ca="1">IF(ISERROR(I373/G373),"-",(I373/G373))</f>
        <v>-</v>
      </c>
      <c r="L373" s="171"/>
      <c r="M373" s="172">
        <f ca="1">INDIRECT("A2!"&amp;"I"&amp;VLOOKUP("Participant",'A2'!$M$3:$N$6,2,FALSE)+Q358)</f>
        <v>0</v>
      </c>
      <c r="N373" s="172">
        <f ca="1">INDIRECT("A2!"&amp;"J"&amp;VLOOKUP("Participant",'A2'!$M$3:$N$6,2,FALSE)+Q358)</f>
        <v>0</v>
      </c>
      <c r="O373" s="172">
        <f ca="1">INDIRECT("A2!"&amp;"K"&amp;VLOOKUP("Participant",'A2'!$M$3:$N$6,2,FALSE)+Q358)</f>
        <v>0</v>
      </c>
      <c r="P373" s="191" t="str">
        <f ca="1">IF(ISERROR(N373/M373),"-",(N373/M373))</f>
        <v>-</v>
      </c>
    </row>
    <row r="374" spans="2:16" ht="15" customHeight="1">
      <c r="B374" s="194"/>
      <c r="C374" s="22"/>
      <c r="D374" s="22"/>
      <c r="E374" s="42"/>
      <c r="F374" s="22"/>
      <c r="G374" s="22"/>
      <c r="H374" s="22"/>
      <c r="I374" s="22"/>
      <c r="J374" s="22"/>
      <c r="K374" s="22"/>
      <c r="L374" s="42"/>
      <c r="M374" s="22"/>
      <c r="N374" s="22"/>
      <c r="O374" s="22"/>
      <c r="P374" s="184"/>
    </row>
    <row r="375" spans="2:16" ht="15" customHeight="1">
      <c r="B375" s="915" t="s">
        <v>80</v>
      </c>
      <c r="C375" s="916"/>
      <c r="D375" s="96"/>
      <c r="E375" s="77"/>
      <c r="F375" s="907" t="s">
        <v>77</v>
      </c>
      <c r="G375" s="909"/>
      <c r="H375" s="907" t="s">
        <v>75</v>
      </c>
      <c r="I375" s="909"/>
      <c r="J375" s="907" t="s">
        <v>78</v>
      </c>
      <c r="K375" s="909"/>
      <c r="L375" s="77"/>
      <c r="M375" s="907" t="str">
        <f>B360&amp;" - "&amp;B370</f>
        <v>2008 - 2010</v>
      </c>
      <c r="N375" s="908"/>
      <c r="O375" s="909"/>
      <c r="P375" s="185"/>
    </row>
    <row r="376" spans="2:16" ht="15" customHeight="1">
      <c r="B376" s="186" t="s">
        <v>76</v>
      </c>
      <c r="C376" s="97" t="s">
        <v>24</v>
      </c>
      <c r="D376" s="98" t="s">
        <v>25</v>
      </c>
      <c r="E376" s="97"/>
      <c r="F376" s="447" t="s">
        <v>223</v>
      </c>
      <c r="G376" s="448" t="s">
        <v>221</v>
      </c>
      <c r="H376" s="447" t="s">
        <v>223</v>
      </c>
      <c r="I376" s="448" t="s">
        <v>221</v>
      </c>
      <c r="J376" s="447" t="s">
        <v>223</v>
      </c>
      <c r="K376" s="448" t="s">
        <v>221</v>
      </c>
      <c r="L376" s="77"/>
      <c r="M376" s="910" t="s">
        <v>96</v>
      </c>
      <c r="N376" s="911"/>
      <c r="O376" s="912"/>
      <c r="P376" s="187" t="s">
        <v>25</v>
      </c>
    </row>
    <row r="377" spans="2:16" ht="15" customHeight="1">
      <c r="B377" s="188" t="s">
        <v>12</v>
      </c>
      <c r="C377" s="160" t="s">
        <v>79</v>
      </c>
      <c r="D377" s="161" t="s">
        <v>12</v>
      </c>
      <c r="E377" s="97"/>
      <c r="F377" s="100" t="str">
        <f>$F$10</f>
        <v>kW*Yrs</v>
      </c>
      <c r="G377" s="99" t="str">
        <f>$G$10</f>
        <v>kWh</v>
      </c>
      <c r="H377" s="100" t="str">
        <f>$H$10</f>
        <v>kW*Yrs</v>
      </c>
      <c r="I377" s="99" t="str">
        <f>$I$10</f>
        <v>kWh</v>
      </c>
      <c r="J377" s="101" t="str">
        <f>$J$10</f>
        <v>kW*Yrs</v>
      </c>
      <c r="K377" s="102" t="str">
        <f>$K$10</f>
        <v>kWh</v>
      </c>
      <c r="L377" s="103"/>
      <c r="M377" s="162" t="s">
        <v>53</v>
      </c>
      <c r="N377" s="163" t="s">
        <v>24</v>
      </c>
      <c r="O377" s="163" t="s">
        <v>83</v>
      </c>
      <c r="P377" s="189" t="s">
        <v>29</v>
      </c>
    </row>
    <row r="378" spans="2:16" ht="15" customHeight="1">
      <c r="B378" s="466">
        <f ca="1">IF(ISERROR(AVERAGE(B363,B368,B373)),"-",AVERAGE(B363,B368,B373))</f>
        <v>0</v>
      </c>
      <c r="C378" s="164">
        <f ca="1">IF(ISERROR(AVERAGE(C363,C368,C373)),"-",AVERAGE(C363,C368,C373))</f>
        <v>0</v>
      </c>
      <c r="D378" s="165" t="str">
        <f ca="1">IF(ISERROR(C378/B378),"-",(C378/B378))</f>
        <v>-</v>
      </c>
      <c r="E378" s="166"/>
      <c r="F378" s="167">
        <f ca="1">IF(ISERROR(AVERAGE(F363,F368,F373)),"-",AVERAGE(F363,F368,F373))</f>
        <v>0</v>
      </c>
      <c r="G378" s="168">
        <f ca="1">IF(ISERROR(AVERAGE(G363,G368,G373)),"-",AVERAGE(G363,G368,G373))</f>
        <v>0</v>
      </c>
      <c r="H378" s="167">
        <f ca="1">IF(ISERROR(AVERAGE(H363,H368,H373)),"-",AVERAGE(H363,H368,H373))</f>
        <v>0</v>
      </c>
      <c r="I378" s="168">
        <f ca="1">IF(ISERROR(AVERAGE(I363,I368,I373)),"-",AVERAGE(I363,I368,I373))</f>
        <v>0</v>
      </c>
      <c r="J378" s="169" t="str">
        <f ca="1">IF(ISERROR(H378/F378),"-",(H378/F378))</f>
        <v>-</v>
      </c>
      <c r="K378" s="170" t="str">
        <f ca="1">IF(ISERROR(I378/G378),"-",(I378/G378))</f>
        <v>-</v>
      </c>
      <c r="L378" s="171"/>
      <c r="M378" s="172">
        <f ca="1">IF(ISERROR(AVERAGE(M363,M368,M373)),"-",AVERAGE(M363,M368,M373))</f>
        <v>0</v>
      </c>
      <c r="N378" s="172">
        <f ca="1">IF(ISERROR(AVERAGE(N363,N368,N373)),"-",AVERAGE(N363,N368,N373))</f>
        <v>0</v>
      </c>
      <c r="O378" s="172">
        <f ca="1">IF(ISERROR(AVERAGE(O363,O368,O373)),"-",AVERAGE(O363,O368,O373))</f>
        <v>0</v>
      </c>
      <c r="P378" s="467" t="str">
        <f ca="1">IF(ISERROR(N378/M378),"-",(N378/M378))</f>
        <v>-</v>
      </c>
    </row>
    <row r="379" spans="2:16" ht="15" customHeight="1">
      <c r="B379" s="200"/>
      <c r="C379" s="22"/>
      <c r="D379" s="22"/>
      <c r="E379" s="42"/>
      <c r="F379" s="22"/>
      <c r="G379" s="22"/>
      <c r="H379" s="22"/>
      <c r="I379" s="22"/>
      <c r="J379" s="22"/>
      <c r="K379" s="22"/>
      <c r="L379" s="42"/>
      <c r="M379" s="22"/>
      <c r="N379" s="22"/>
      <c r="O379" s="22"/>
      <c r="P379" s="460"/>
    </row>
    <row r="380" spans="2:16" ht="15" customHeight="1" thickBot="1">
      <c r="B380" s="545" t="str">
        <f>$B$28</f>
        <v>*Lifetime Savings</v>
      </c>
      <c r="C380" s="209"/>
      <c r="D380" s="209"/>
      <c r="E380" s="470"/>
      <c r="F380" s="209"/>
      <c r="G380" s="209"/>
      <c r="H380" s="209"/>
      <c r="I380" s="209"/>
      <c r="J380" s="209"/>
      <c r="K380" s="209"/>
      <c r="L380" s="470"/>
      <c r="M380" s="209"/>
      <c r="N380" s="209"/>
      <c r="O380" s="209"/>
      <c r="P380" s="471"/>
    </row>
  </sheetData>
  <mergeCells count="379">
    <mergeCell ref="M174:O174"/>
    <mergeCell ref="B173:C173"/>
    <mergeCell ref="H173:I173"/>
    <mergeCell ref="M169:O169"/>
    <mergeCell ref="F173:G173"/>
    <mergeCell ref="J173:K173"/>
    <mergeCell ref="B1:P1"/>
    <mergeCell ref="B2:P2"/>
    <mergeCell ref="M173:O173"/>
    <mergeCell ref="M163:O163"/>
    <mergeCell ref="M164:O164"/>
    <mergeCell ref="B168:C168"/>
    <mergeCell ref="H168:I168"/>
    <mergeCell ref="B163:C163"/>
    <mergeCell ref="H163:I163"/>
    <mergeCell ref="F163:G163"/>
    <mergeCell ref="M144:O144"/>
    <mergeCell ref="M148:O148"/>
    <mergeCell ref="M149:O149"/>
    <mergeCell ref="B156:P156"/>
    <mergeCell ref="B148:C148"/>
    <mergeCell ref="H148:I148"/>
    <mergeCell ref="F148:G148"/>
    <mergeCell ref="J148:K148"/>
    <mergeCell ref="M168:O168"/>
    <mergeCell ref="B158:C158"/>
    <mergeCell ref="H158:I158"/>
    <mergeCell ref="M158:O158"/>
    <mergeCell ref="M159:O159"/>
    <mergeCell ref="F158:G158"/>
    <mergeCell ref="J158:K158"/>
    <mergeCell ref="J163:K163"/>
    <mergeCell ref="F168:G168"/>
    <mergeCell ref="J168:K168"/>
    <mergeCell ref="M134:O134"/>
    <mergeCell ref="F133:G133"/>
    <mergeCell ref="J133:K133"/>
    <mergeCell ref="M138:O138"/>
    <mergeCell ref="M139:O139"/>
    <mergeCell ref="B143:C143"/>
    <mergeCell ref="H143:I143"/>
    <mergeCell ref="B138:C138"/>
    <mergeCell ref="H138:I138"/>
    <mergeCell ref="F138:G138"/>
    <mergeCell ref="M143:O143"/>
    <mergeCell ref="F143:G143"/>
    <mergeCell ref="J143:K143"/>
    <mergeCell ref="J138:K138"/>
    <mergeCell ref="M119:O119"/>
    <mergeCell ref="M123:O123"/>
    <mergeCell ref="M124:O124"/>
    <mergeCell ref="B131:P131"/>
    <mergeCell ref="B123:C123"/>
    <mergeCell ref="H123:I123"/>
    <mergeCell ref="B133:C133"/>
    <mergeCell ref="H133:I133"/>
    <mergeCell ref="M133:O133"/>
    <mergeCell ref="F123:G123"/>
    <mergeCell ref="J123:K123"/>
    <mergeCell ref="M109:O109"/>
    <mergeCell ref="F108:G108"/>
    <mergeCell ref="J108:K108"/>
    <mergeCell ref="M113:O113"/>
    <mergeCell ref="M114:O114"/>
    <mergeCell ref="B118:C118"/>
    <mergeCell ref="H118:I118"/>
    <mergeCell ref="B113:C113"/>
    <mergeCell ref="H113:I113"/>
    <mergeCell ref="F113:G113"/>
    <mergeCell ref="M118:O118"/>
    <mergeCell ref="J113:K113"/>
    <mergeCell ref="F118:G118"/>
    <mergeCell ref="J118:K118"/>
    <mergeCell ref="M94:O94"/>
    <mergeCell ref="M98:O98"/>
    <mergeCell ref="M99:O99"/>
    <mergeCell ref="B106:P106"/>
    <mergeCell ref="B98:C98"/>
    <mergeCell ref="H98:I98"/>
    <mergeCell ref="F98:G98"/>
    <mergeCell ref="J98:K98"/>
    <mergeCell ref="B108:C108"/>
    <mergeCell ref="H108:I108"/>
    <mergeCell ref="M108:O108"/>
    <mergeCell ref="M84:O84"/>
    <mergeCell ref="F83:G83"/>
    <mergeCell ref="J83:K83"/>
    <mergeCell ref="M88:O88"/>
    <mergeCell ref="M89:O89"/>
    <mergeCell ref="B93:C93"/>
    <mergeCell ref="H93:I93"/>
    <mergeCell ref="B88:C88"/>
    <mergeCell ref="H88:I88"/>
    <mergeCell ref="F88:G88"/>
    <mergeCell ref="M93:O93"/>
    <mergeCell ref="F93:G93"/>
    <mergeCell ref="J93:K93"/>
    <mergeCell ref="J88:K88"/>
    <mergeCell ref="M69:O69"/>
    <mergeCell ref="M73:O73"/>
    <mergeCell ref="M74:O74"/>
    <mergeCell ref="B81:P81"/>
    <mergeCell ref="B73:C73"/>
    <mergeCell ref="H73:I73"/>
    <mergeCell ref="B83:C83"/>
    <mergeCell ref="H83:I83"/>
    <mergeCell ref="M83:O83"/>
    <mergeCell ref="F73:G73"/>
    <mergeCell ref="J73:K73"/>
    <mergeCell ref="M59:O59"/>
    <mergeCell ref="F58:G58"/>
    <mergeCell ref="J58:K58"/>
    <mergeCell ref="M63:O63"/>
    <mergeCell ref="M64:O64"/>
    <mergeCell ref="B68:C68"/>
    <mergeCell ref="H68:I68"/>
    <mergeCell ref="B63:C63"/>
    <mergeCell ref="H63:I63"/>
    <mergeCell ref="F63:G63"/>
    <mergeCell ref="M68:O68"/>
    <mergeCell ref="J63:K63"/>
    <mergeCell ref="F68:G68"/>
    <mergeCell ref="J68:K68"/>
    <mergeCell ref="M44:O44"/>
    <mergeCell ref="M48:O48"/>
    <mergeCell ref="M49:O49"/>
    <mergeCell ref="B56:P56"/>
    <mergeCell ref="B48:C48"/>
    <mergeCell ref="H48:I48"/>
    <mergeCell ref="F48:G48"/>
    <mergeCell ref="J48:K48"/>
    <mergeCell ref="B58:C58"/>
    <mergeCell ref="H58:I58"/>
    <mergeCell ref="M58:O58"/>
    <mergeCell ref="M38:O38"/>
    <mergeCell ref="B33:C33"/>
    <mergeCell ref="H33:I33"/>
    <mergeCell ref="M33:O33"/>
    <mergeCell ref="M23:O23"/>
    <mergeCell ref="J38:K38"/>
    <mergeCell ref="M39:O39"/>
    <mergeCell ref="B43:C43"/>
    <mergeCell ref="H43:I43"/>
    <mergeCell ref="B38:C38"/>
    <mergeCell ref="H38:I38"/>
    <mergeCell ref="M43:O43"/>
    <mergeCell ref="F43:G43"/>
    <mergeCell ref="J43:K43"/>
    <mergeCell ref="F38:G38"/>
    <mergeCell ref="M18:O18"/>
    <mergeCell ref="M19:O19"/>
    <mergeCell ref="M34:O34"/>
    <mergeCell ref="M24:O24"/>
    <mergeCell ref="B13:C13"/>
    <mergeCell ref="H13:I13"/>
    <mergeCell ref="F13:G13"/>
    <mergeCell ref="J23:K23"/>
    <mergeCell ref="B31:P31"/>
    <mergeCell ref="M13:O13"/>
    <mergeCell ref="J13:K13"/>
    <mergeCell ref="B18:C18"/>
    <mergeCell ref="H18:I18"/>
    <mergeCell ref="F33:G33"/>
    <mergeCell ref="J33:K33"/>
    <mergeCell ref="F18:G18"/>
    <mergeCell ref="F23:G23"/>
    <mergeCell ref="J18:K18"/>
    <mergeCell ref="B23:C23"/>
    <mergeCell ref="H23:I23"/>
    <mergeCell ref="B3:P3"/>
    <mergeCell ref="B4:P4"/>
    <mergeCell ref="B6:P6"/>
    <mergeCell ref="B8:C8"/>
    <mergeCell ref="H8:I8"/>
    <mergeCell ref="M8:O8"/>
    <mergeCell ref="F8:G8"/>
    <mergeCell ref="J8:K8"/>
    <mergeCell ref="M14:O14"/>
    <mergeCell ref="M9:O9"/>
    <mergeCell ref="B188:C188"/>
    <mergeCell ref="H188:I188"/>
    <mergeCell ref="M188:O188"/>
    <mergeCell ref="M189:O189"/>
    <mergeCell ref="F188:G188"/>
    <mergeCell ref="J188:K188"/>
    <mergeCell ref="M184:O184"/>
    <mergeCell ref="B181:P181"/>
    <mergeCell ref="B183:C183"/>
    <mergeCell ref="H183:I183"/>
    <mergeCell ref="M183:O183"/>
    <mergeCell ref="F183:G183"/>
    <mergeCell ref="J183:K183"/>
    <mergeCell ref="B198:C198"/>
    <mergeCell ref="H198:I198"/>
    <mergeCell ref="M198:O198"/>
    <mergeCell ref="M199:O199"/>
    <mergeCell ref="F198:G198"/>
    <mergeCell ref="J198:K198"/>
    <mergeCell ref="B193:C193"/>
    <mergeCell ref="H193:I193"/>
    <mergeCell ref="M193:O193"/>
    <mergeCell ref="M194:O194"/>
    <mergeCell ref="F193:G193"/>
    <mergeCell ref="J193:K193"/>
    <mergeCell ref="B213:C213"/>
    <mergeCell ref="H213:I213"/>
    <mergeCell ref="M213:O213"/>
    <mergeCell ref="M214:O214"/>
    <mergeCell ref="F213:G213"/>
    <mergeCell ref="J213:K213"/>
    <mergeCell ref="M209:O209"/>
    <mergeCell ref="B206:P206"/>
    <mergeCell ref="B208:C208"/>
    <mergeCell ref="H208:I208"/>
    <mergeCell ref="M208:O208"/>
    <mergeCell ref="F208:G208"/>
    <mergeCell ref="J208:K208"/>
    <mergeCell ref="B223:C223"/>
    <mergeCell ref="H223:I223"/>
    <mergeCell ref="M223:O223"/>
    <mergeCell ref="M224:O224"/>
    <mergeCell ref="F223:G223"/>
    <mergeCell ref="J223:K223"/>
    <mergeCell ref="B218:C218"/>
    <mergeCell ref="H218:I218"/>
    <mergeCell ref="M218:O218"/>
    <mergeCell ref="M219:O219"/>
    <mergeCell ref="F218:G218"/>
    <mergeCell ref="J218:K218"/>
    <mergeCell ref="B240:C240"/>
    <mergeCell ref="H240:I240"/>
    <mergeCell ref="M240:O240"/>
    <mergeCell ref="M241:O241"/>
    <mergeCell ref="F240:G240"/>
    <mergeCell ref="J240:K240"/>
    <mergeCell ref="M236:O236"/>
    <mergeCell ref="B233:P233"/>
    <mergeCell ref="B235:C235"/>
    <mergeCell ref="H235:I235"/>
    <mergeCell ref="M235:O235"/>
    <mergeCell ref="F235:G235"/>
    <mergeCell ref="J235:K235"/>
    <mergeCell ref="B250:C250"/>
    <mergeCell ref="H250:I250"/>
    <mergeCell ref="M250:O250"/>
    <mergeCell ref="M251:O251"/>
    <mergeCell ref="F250:G250"/>
    <mergeCell ref="J250:K250"/>
    <mergeCell ref="B245:C245"/>
    <mergeCell ref="H245:I245"/>
    <mergeCell ref="M245:O245"/>
    <mergeCell ref="M246:O246"/>
    <mergeCell ref="F245:G245"/>
    <mergeCell ref="J245:K245"/>
    <mergeCell ref="B265:C265"/>
    <mergeCell ref="H265:I265"/>
    <mergeCell ref="M265:O265"/>
    <mergeCell ref="M266:O266"/>
    <mergeCell ref="F265:G265"/>
    <mergeCell ref="J265:K265"/>
    <mergeCell ref="M261:O261"/>
    <mergeCell ref="B258:P258"/>
    <mergeCell ref="B260:C260"/>
    <mergeCell ref="H260:I260"/>
    <mergeCell ref="M260:O260"/>
    <mergeCell ref="F260:G260"/>
    <mergeCell ref="J260:K260"/>
    <mergeCell ref="B275:C275"/>
    <mergeCell ref="H275:I275"/>
    <mergeCell ref="M275:O275"/>
    <mergeCell ref="M276:O276"/>
    <mergeCell ref="F275:G275"/>
    <mergeCell ref="J275:K275"/>
    <mergeCell ref="B270:C270"/>
    <mergeCell ref="H270:I270"/>
    <mergeCell ref="M270:O270"/>
    <mergeCell ref="M271:O271"/>
    <mergeCell ref="F270:G270"/>
    <mergeCell ref="J270:K270"/>
    <mergeCell ref="M290:O290"/>
    <mergeCell ref="M291:O291"/>
    <mergeCell ref="F290:G290"/>
    <mergeCell ref="J290:K290"/>
    <mergeCell ref="M286:O286"/>
    <mergeCell ref="B283:P283"/>
    <mergeCell ref="B285:C285"/>
    <mergeCell ref="H285:I285"/>
    <mergeCell ref="M285:O285"/>
    <mergeCell ref="F285:G285"/>
    <mergeCell ref="J285:K285"/>
    <mergeCell ref="B290:C290"/>
    <mergeCell ref="H290:I290"/>
    <mergeCell ref="M300:O300"/>
    <mergeCell ref="M301:O301"/>
    <mergeCell ref="F300:G300"/>
    <mergeCell ref="J300:K300"/>
    <mergeCell ref="B295:C295"/>
    <mergeCell ref="H295:I295"/>
    <mergeCell ref="M295:O295"/>
    <mergeCell ref="M296:O296"/>
    <mergeCell ref="F295:G295"/>
    <mergeCell ref="J295:K295"/>
    <mergeCell ref="B300:C300"/>
    <mergeCell ref="H300:I300"/>
    <mergeCell ref="M315:O315"/>
    <mergeCell ref="M316:O316"/>
    <mergeCell ref="F315:G315"/>
    <mergeCell ref="J315:K315"/>
    <mergeCell ref="M311:O311"/>
    <mergeCell ref="B308:P308"/>
    <mergeCell ref="B310:C310"/>
    <mergeCell ref="H310:I310"/>
    <mergeCell ref="M310:O310"/>
    <mergeCell ref="F310:G310"/>
    <mergeCell ref="J310:K310"/>
    <mergeCell ref="B315:C315"/>
    <mergeCell ref="H315:I315"/>
    <mergeCell ref="M325:O325"/>
    <mergeCell ref="M326:O326"/>
    <mergeCell ref="F325:G325"/>
    <mergeCell ref="J325:K325"/>
    <mergeCell ref="B320:C320"/>
    <mergeCell ref="H320:I320"/>
    <mergeCell ref="M320:O320"/>
    <mergeCell ref="M321:O321"/>
    <mergeCell ref="F320:G320"/>
    <mergeCell ref="J320:K320"/>
    <mergeCell ref="B325:C325"/>
    <mergeCell ref="H325:I325"/>
    <mergeCell ref="M340:O340"/>
    <mergeCell ref="M341:O341"/>
    <mergeCell ref="F340:G340"/>
    <mergeCell ref="J340:K340"/>
    <mergeCell ref="M336:O336"/>
    <mergeCell ref="B333:P333"/>
    <mergeCell ref="B335:C335"/>
    <mergeCell ref="H335:I335"/>
    <mergeCell ref="M335:O335"/>
    <mergeCell ref="F335:G335"/>
    <mergeCell ref="J335:K335"/>
    <mergeCell ref="B340:C340"/>
    <mergeCell ref="H340:I340"/>
    <mergeCell ref="M350:O350"/>
    <mergeCell ref="M351:O351"/>
    <mergeCell ref="F350:G350"/>
    <mergeCell ref="J350:K350"/>
    <mergeCell ref="B345:C345"/>
    <mergeCell ref="H345:I345"/>
    <mergeCell ref="M345:O345"/>
    <mergeCell ref="M346:O346"/>
    <mergeCell ref="F345:G345"/>
    <mergeCell ref="J345:K345"/>
    <mergeCell ref="B350:C350"/>
    <mergeCell ref="H350:I350"/>
    <mergeCell ref="M365:O365"/>
    <mergeCell ref="M366:O366"/>
    <mergeCell ref="F365:G365"/>
    <mergeCell ref="J365:K365"/>
    <mergeCell ref="M361:O361"/>
    <mergeCell ref="B358:P358"/>
    <mergeCell ref="B360:C360"/>
    <mergeCell ref="H360:I360"/>
    <mergeCell ref="M360:O360"/>
    <mergeCell ref="F360:G360"/>
    <mergeCell ref="J360:K360"/>
    <mergeCell ref="B365:C365"/>
    <mergeCell ref="H365:I365"/>
    <mergeCell ref="M375:O375"/>
    <mergeCell ref="M376:O376"/>
    <mergeCell ref="F375:G375"/>
    <mergeCell ref="J375:K375"/>
    <mergeCell ref="B370:C370"/>
    <mergeCell ref="H370:I370"/>
    <mergeCell ref="M370:O370"/>
    <mergeCell ref="M371:O371"/>
    <mergeCell ref="F370:G370"/>
    <mergeCell ref="J370:K370"/>
    <mergeCell ref="B375:C375"/>
    <mergeCell ref="H375:I375"/>
  </mergeCells>
  <phoneticPr fontId="19" type="noConversion"/>
  <pageMargins left="0.75" right="0.75" top="0.75" bottom="0.75" header="0.5" footer="0.5"/>
  <pageSetup scale="53" fitToHeight="7" orientation="portrait" r:id="rId1"/>
  <headerFooter alignWithMargins="0">
    <oddFooter>&amp;L&amp;A&amp;C&amp;P of &amp;N&amp;R&amp;D</oddFooter>
  </headerFooter>
  <rowBreaks count="4" manualBreakCount="4">
    <brk id="80" max="15" man="1"/>
    <brk id="155" max="15" man="1"/>
    <brk id="232" max="15" man="1"/>
    <brk id="307"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7"/>
    <pageSetUpPr fitToPage="1"/>
  </sheetPr>
  <dimension ref="B1:L48"/>
  <sheetViews>
    <sheetView workbookViewId="0">
      <selection activeCell="B27" sqref="B27:L48"/>
    </sheetView>
  </sheetViews>
  <sheetFormatPr defaultColWidth="10.28515625" defaultRowHeight="12.75"/>
  <cols>
    <col min="1" max="1" width="0.85546875" style="379" customWidth="1"/>
    <col min="2" max="2" width="6.85546875" style="660" customWidth="1"/>
    <col min="3" max="3" width="10.140625" style="668" customWidth="1"/>
    <col min="4" max="4" width="22.140625" style="378" customWidth="1"/>
    <col min="5" max="5" width="22" style="378" customWidth="1"/>
    <col min="6" max="6" width="13.140625" style="378" bestFit="1" customWidth="1"/>
    <col min="7" max="7" width="29.7109375" style="378" customWidth="1"/>
    <col min="8" max="8" width="13.42578125" style="378" customWidth="1"/>
    <col min="9" max="9" width="11.5703125" style="378" customWidth="1"/>
    <col min="10" max="10" width="12.5703125" style="378" customWidth="1"/>
    <col min="11" max="11" width="11.5703125" style="378" customWidth="1"/>
    <col min="12" max="12" width="13" style="378" customWidth="1"/>
    <col min="13" max="16384" width="10.28515625" style="379"/>
  </cols>
  <sheetData>
    <row r="1" spans="2:12" ht="5.0999999999999996" customHeight="1"/>
    <row r="2" spans="2:12" ht="26.25">
      <c r="B2" s="661" t="s">
        <v>84</v>
      </c>
      <c r="C2" s="669"/>
      <c r="D2" s="606"/>
      <c r="E2" s="606"/>
      <c r="F2" s="606"/>
      <c r="G2" s="606"/>
      <c r="H2" s="606"/>
      <c r="I2" s="606"/>
      <c r="J2" s="606"/>
      <c r="K2" s="606"/>
      <c r="L2" s="607"/>
    </row>
    <row r="3" spans="2:12" ht="13.5" thickBot="1">
      <c r="B3" s="662"/>
      <c r="C3" s="670"/>
      <c r="D3" s="380"/>
      <c r="E3" s="380"/>
      <c r="F3" s="380"/>
      <c r="G3" s="380"/>
      <c r="H3" s="380"/>
      <c r="I3" s="380"/>
      <c r="J3" s="380"/>
      <c r="K3" s="380"/>
      <c r="L3" s="380"/>
    </row>
    <row r="4" spans="2:12" ht="16.5" thickBot="1">
      <c r="B4" s="663" t="s">
        <v>260</v>
      </c>
      <c r="C4" s="671"/>
      <c r="D4" s="602"/>
      <c r="E4" s="602"/>
      <c r="F4" s="602"/>
      <c r="G4" s="602"/>
      <c r="H4" s="602"/>
      <c r="I4" s="602"/>
      <c r="J4" s="602"/>
      <c r="K4" s="602"/>
      <c r="L4" s="603"/>
    </row>
    <row r="5" spans="2:12" ht="5.25" customHeight="1">
      <c r="B5" s="658"/>
      <c r="C5" s="672"/>
      <c r="D5" s="380"/>
      <c r="E5" s="380"/>
      <c r="F5" s="380"/>
      <c r="G5" s="380"/>
      <c r="H5" s="380"/>
      <c r="I5" s="380"/>
      <c r="J5" s="380"/>
      <c r="K5" s="380"/>
      <c r="L5" s="604"/>
    </row>
    <row r="6" spans="2:12" ht="53.25" customHeight="1">
      <c r="B6" s="664" t="s">
        <v>268</v>
      </c>
      <c r="C6" s="673" t="s">
        <v>263</v>
      </c>
      <c r="D6" s="608" t="s">
        <v>264</v>
      </c>
      <c r="E6" s="608" t="s">
        <v>266</v>
      </c>
      <c r="F6" s="608" t="s">
        <v>267</v>
      </c>
      <c r="G6" s="608" t="s">
        <v>265</v>
      </c>
      <c r="H6" s="608" t="s">
        <v>275</v>
      </c>
      <c r="I6" s="608" t="s">
        <v>276</v>
      </c>
      <c r="J6" s="608" t="s">
        <v>277</v>
      </c>
      <c r="K6" s="608" t="s">
        <v>278</v>
      </c>
      <c r="L6" s="615" t="s">
        <v>261</v>
      </c>
    </row>
    <row r="7" spans="2:12" ht="25.5">
      <c r="B7" s="658">
        <v>1</v>
      </c>
      <c r="C7" s="659">
        <v>40149</v>
      </c>
      <c r="D7" s="691" t="s">
        <v>300</v>
      </c>
      <c r="E7" s="691" t="s">
        <v>301</v>
      </c>
      <c r="F7" s="691" t="s">
        <v>302</v>
      </c>
      <c r="G7" s="691" t="s">
        <v>303</v>
      </c>
      <c r="H7" s="609">
        <v>8</v>
      </c>
      <c r="I7" s="609">
        <v>3</v>
      </c>
      <c r="J7" s="609">
        <v>24</v>
      </c>
      <c r="K7" s="609" t="s">
        <v>304</v>
      </c>
      <c r="L7" s="616"/>
    </row>
    <row r="8" spans="2:12" ht="25.5">
      <c r="B8" s="658">
        <v>2</v>
      </c>
      <c r="C8" s="659">
        <v>40158</v>
      </c>
      <c r="D8" s="691" t="s">
        <v>305</v>
      </c>
      <c r="E8" s="691" t="s">
        <v>306</v>
      </c>
      <c r="F8" s="691" t="s">
        <v>309</v>
      </c>
      <c r="G8" s="691" t="s">
        <v>303</v>
      </c>
      <c r="H8" s="609">
        <v>8</v>
      </c>
      <c r="I8" s="609">
        <v>8</v>
      </c>
      <c r="J8" s="609">
        <v>64</v>
      </c>
      <c r="K8" s="609" t="s">
        <v>304</v>
      </c>
      <c r="L8" s="616"/>
    </row>
    <row r="9" spans="2:12" ht="6" customHeight="1">
      <c r="B9" s="665"/>
      <c r="C9" s="674"/>
      <c r="D9" s="704"/>
      <c r="E9" s="704"/>
      <c r="F9" s="704"/>
      <c r="G9" s="704"/>
      <c r="H9" s="610"/>
      <c r="I9" s="610"/>
      <c r="J9" s="610"/>
      <c r="K9" s="610"/>
      <c r="L9" s="617"/>
    </row>
    <row r="10" spans="2:12" ht="25.5">
      <c r="B10" s="658">
        <v>3</v>
      </c>
      <c r="C10" s="659">
        <v>40168</v>
      </c>
      <c r="D10" s="691" t="s">
        <v>307</v>
      </c>
      <c r="E10" s="691" t="s">
        <v>308</v>
      </c>
      <c r="F10" s="691" t="s">
        <v>309</v>
      </c>
      <c r="G10" s="691" t="s">
        <v>310</v>
      </c>
      <c r="H10" s="609">
        <v>7</v>
      </c>
      <c r="I10" s="609">
        <v>8</v>
      </c>
      <c r="J10" s="609">
        <v>56</v>
      </c>
      <c r="K10" s="609" t="s">
        <v>304</v>
      </c>
      <c r="L10" s="616"/>
    </row>
    <row r="11" spans="2:12" s="677" customFormat="1" ht="12.75" hidden="1" customHeight="1">
      <c r="B11" s="678"/>
      <c r="C11" s="679"/>
      <c r="D11" s="705"/>
      <c r="E11" s="705"/>
      <c r="F11" s="705"/>
      <c r="G11" s="705"/>
      <c r="H11" s="680"/>
      <c r="I11" s="680"/>
      <c r="J11" s="680"/>
      <c r="K11" s="680"/>
      <c r="L11" s="680"/>
    </row>
    <row r="12" spans="2:12" ht="4.5" customHeight="1">
      <c r="B12" s="665"/>
      <c r="C12" s="674"/>
      <c r="D12" s="704"/>
      <c r="E12" s="704"/>
      <c r="F12" s="704"/>
      <c r="G12" s="704"/>
      <c r="H12" s="610"/>
      <c r="I12" s="610"/>
      <c r="J12" s="610"/>
      <c r="K12" s="610"/>
      <c r="L12" s="617"/>
    </row>
    <row r="13" spans="2:12" ht="25.5">
      <c r="B13" s="658">
        <v>4</v>
      </c>
      <c r="C13" s="659">
        <v>40214</v>
      </c>
      <c r="D13" s="691" t="s">
        <v>316</v>
      </c>
      <c r="E13" s="691" t="s">
        <v>317</v>
      </c>
      <c r="F13" s="691" t="s">
        <v>318</v>
      </c>
      <c r="G13" s="691" t="s">
        <v>303</v>
      </c>
      <c r="H13" s="609">
        <v>51</v>
      </c>
      <c r="I13" s="609">
        <v>1</v>
      </c>
      <c r="J13" s="609">
        <v>51</v>
      </c>
      <c r="K13" s="609" t="s">
        <v>304</v>
      </c>
      <c r="L13" s="616"/>
    </row>
    <row r="14" spans="2:12" ht="25.5">
      <c r="B14" s="658">
        <v>5</v>
      </c>
      <c r="C14" s="659">
        <v>40224</v>
      </c>
      <c r="D14" s="691" t="s">
        <v>307</v>
      </c>
      <c r="E14" s="691" t="s">
        <v>319</v>
      </c>
      <c r="F14" s="691" t="s">
        <v>303</v>
      </c>
      <c r="G14" s="691" t="s">
        <v>310</v>
      </c>
      <c r="H14" s="609">
        <v>8</v>
      </c>
      <c r="I14" s="609">
        <v>8</v>
      </c>
      <c r="J14" s="609">
        <v>64</v>
      </c>
      <c r="K14" s="609" t="s">
        <v>304</v>
      </c>
      <c r="L14" s="616"/>
    </row>
    <row r="15" spans="2:12" ht="6" customHeight="1">
      <c r="B15" s="665"/>
      <c r="C15" s="674"/>
      <c r="D15" s="704"/>
      <c r="E15" s="704"/>
      <c r="F15" s="704"/>
      <c r="G15" s="704"/>
      <c r="H15" s="610"/>
      <c r="I15" s="610"/>
      <c r="J15" s="610"/>
      <c r="K15" s="610"/>
      <c r="L15" s="617"/>
    </row>
    <row r="16" spans="2:12" ht="38.25">
      <c r="B16" s="658">
        <v>6</v>
      </c>
      <c r="C16" s="659">
        <v>40253</v>
      </c>
      <c r="D16" s="691" t="s">
        <v>316</v>
      </c>
      <c r="E16" s="691" t="s">
        <v>317</v>
      </c>
      <c r="F16" s="691" t="s">
        <v>320</v>
      </c>
      <c r="G16" s="691" t="s">
        <v>303</v>
      </c>
      <c r="H16" s="609">
        <v>63</v>
      </c>
      <c r="I16" s="609">
        <v>1</v>
      </c>
      <c r="J16" s="609">
        <v>63</v>
      </c>
      <c r="K16" s="609" t="s">
        <v>304</v>
      </c>
      <c r="L16" s="616"/>
    </row>
    <row r="17" spans="2:12" ht="25.5">
      <c r="B17" s="658">
        <v>7</v>
      </c>
      <c r="C17" s="659">
        <v>40290</v>
      </c>
      <c r="D17" s="691" t="s">
        <v>321</v>
      </c>
      <c r="E17" s="691" t="s">
        <v>322</v>
      </c>
      <c r="F17" s="691" t="s">
        <v>323</v>
      </c>
      <c r="G17" s="691" t="s">
        <v>303</v>
      </c>
      <c r="H17" s="609">
        <v>207</v>
      </c>
      <c r="I17" s="609">
        <v>2</v>
      </c>
      <c r="J17" s="609">
        <v>41</v>
      </c>
      <c r="K17" s="609" t="s">
        <v>304</v>
      </c>
      <c r="L17" s="616"/>
    </row>
    <row r="18" spans="2:12" ht="6" customHeight="1">
      <c r="B18" s="665"/>
      <c r="C18" s="674"/>
      <c r="D18" s="704"/>
      <c r="E18" s="704"/>
      <c r="F18" s="704"/>
      <c r="G18" s="704"/>
      <c r="H18" s="610"/>
      <c r="I18" s="610"/>
      <c r="J18" s="610"/>
      <c r="K18" s="610"/>
      <c r="L18" s="617"/>
    </row>
    <row r="19" spans="2:12">
      <c r="B19" s="658">
        <v>8</v>
      </c>
      <c r="C19" s="659">
        <v>40323</v>
      </c>
      <c r="D19" s="691" t="s">
        <v>58</v>
      </c>
      <c r="E19" s="691" t="s">
        <v>324</v>
      </c>
      <c r="F19" s="691" t="s">
        <v>303</v>
      </c>
      <c r="G19" s="691" t="s">
        <v>303</v>
      </c>
      <c r="H19" s="609">
        <v>8</v>
      </c>
      <c r="I19" s="609">
        <v>8</v>
      </c>
      <c r="J19" s="609">
        <v>64</v>
      </c>
      <c r="K19" s="609" t="s">
        <v>304</v>
      </c>
      <c r="L19" s="616"/>
    </row>
    <row r="20" spans="2:12" ht="25.5">
      <c r="B20" s="658">
        <v>9</v>
      </c>
      <c r="C20" s="659">
        <v>40332</v>
      </c>
      <c r="D20" s="691" t="s">
        <v>325</v>
      </c>
      <c r="E20" s="691" t="s">
        <v>326</v>
      </c>
      <c r="F20" s="691" t="s">
        <v>327</v>
      </c>
      <c r="G20" s="687" t="s">
        <v>303</v>
      </c>
      <c r="H20" s="613">
        <v>54</v>
      </c>
      <c r="I20" s="609">
        <v>1.5</v>
      </c>
      <c r="J20" s="609">
        <v>81</v>
      </c>
      <c r="K20" s="609" t="s">
        <v>304</v>
      </c>
      <c r="L20" s="616"/>
    </row>
    <row r="21" spans="2:12" ht="6" customHeight="1">
      <c r="B21" s="665"/>
      <c r="C21" s="674"/>
      <c r="D21" s="704"/>
      <c r="E21" s="704"/>
      <c r="F21" s="704"/>
      <c r="G21" s="704"/>
      <c r="H21" s="610"/>
      <c r="I21" s="610"/>
      <c r="J21" s="610"/>
      <c r="K21" s="610"/>
      <c r="L21" s="617"/>
    </row>
    <row r="22" spans="2:12" ht="25.5">
      <c r="B22" s="658">
        <v>10</v>
      </c>
      <c r="C22" s="659" t="s">
        <v>328</v>
      </c>
      <c r="D22" s="691" t="s">
        <v>316</v>
      </c>
      <c r="E22" s="691" t="s">
        <v>305</v>
      </c>
      <c r="F22" s="691" t="s">
        <v>303</v>
      </c>
      <c r="G22" s="691" t="s">
        <v>303</v>
      </c>
      <c r="H22" s="609">
        <v>6</v>
      </c>
      <c r="I22" s="609">
        <v>24</v>
      </c>
      <c r="J22" s="609">
        <v>144</v>
      </c>
      <c r="K22" s="609" t="s">
        <v>304</v>
      </c>
      <c r="L22" s="616"/>
    </row>
    <row r="23" spans="2:12">
      <c r="B23" s="658"/>
      <c r="C23" s="659"/>
      <c r="D23" s="691"/>
      <c r="E23" s="691"/>
      <c r="F23" s="691"/>
      <c r="G23" s="687"/>
      <c r="H23" s="613"/>
      <c r="I23" s="609"/>
      <c r="J23" s="609"/>
      <c r="K23" s="609"/>
      <c r="L23" s="616"/>
    </row>
    <row r="24" spans="2:12">
      <c r="B24" s="666" t="s">
        <v>269</v>
      </c>
      <c r="C24" s="675" t="s">
        <v>270</v>
      </c>
      <c r="D24" s="611">
        <v>10</v>
      </c>
      <c r="E24" s="610"/>
      <c r="F24" s="610"/>
      <c r="G24" s="614"/>
      <c r="H24" s="611">
        <f>SUM(H7:H22)</f>
        <v>420</v>
      </c>
      <c r="I24" s="610"/>
      <c r="J24" s="611">
        <f>SUM(J7:J22)</f>
        <v>652</v>
      </c>
      <c r="K24" s="614"/>
      <c r="L24" s="605"/>
    </row>
    <row r="25" spans="2:12" ht="13.5" customHeight="1" thickBot="1">
      <c r="B25" s="667"/>
      <c r="C25" s="676"/>
      <c r="D25" s="612"/>
      <c r="E25" s="612"/>
      <c r="F25" s="612"/>
      <c r="G25" s="612"/>
      <c r="H25" s="612"/>
      <c r="I25" s="612"/>
      <c r="J25" s="612"/>
      <c r="K25" s="612"/>
      <c r="L25" s="618"/>
    </row>
    <row r="26" spans="2:12" ht="13.5" thickBot="1"/>
    <row r="27" spans="2:12" ht="16.5" thickBot="1">
      <c r="B27" s="663" t="s">
        <v>271</v>
      </c>
      <c r="C27" s="671"/>
      <c r="D27" s="602"/>
      <c r="E27" s="602"/>
      <c r="F27" s="602"/>
      <c r="G27" s="602"/>
      <c r="H27" s="602"/>
      <c r="I27" s="602"/>
      <c r="J27" s="602"/>
      <c r="K27" s="602"/>
      <c r="L27" s="603"/>
    </row>
    <row r="28" spans="2:12">
      <c r="B28" s="658"/>
      <c r="C28" s="672"/>
      <c r="D28" s="380"/>
      <c r="E28" s="380"/>
      <c r="F28" s="380"/>
      <c r="G28" s="380"/>
      <c r="H28" s="380"/>
      <c r="I28" s="380"/>
      <c r="J28" s="380"/>
      <c r="K28" s="380"/>
      <c r="L28" s="604"/>
    </row>
    <row r="29" spans="2:12" ht="51">
      <c r="B29" s="664" t="s">
        <v>268</v>
      </c>
      <c r="C29" s="673" t="s">
        <v>263</v>
      </c>
      <c r="D29" s="608" t="s">
        <v>264</v>
      </c>
      <c r="E29" s="608" t="s">
        <v>266</v>
      </c>
      <c r="F29" s="608" t="s">
        <v>267</v>
      </c>
      <c r="G29" s="608" t="s">
        <v>265</v>
      </c>
      <c r="H29" s="608" t="s">
        <v>275</v>
      </c>
      <c r="I29" s="608" t="s">
        <v>276</v>
      </c>
      <c r="J29" s="608" t="s">
        <v>277</v>
      </c>
      <c r="K29" s="608" t="s">
        <v>278</v>
      </c>
      <c r="L29" s="615" t="s">
        <v>261</v>
      </c>
    </row>
    <row r="30" spans="2:12" s="677" customFormat="1">
      <c r="B30" s="681"/>
      <c r="C30" s="682"/>
      <c r="D30" s="683"/>
      <c r="E30" s="683"/>
      <c r="F30" s="683"/>
      <c r="G30" s="683"/>
      <c r="H30" s="683"/>
      <c r="I30" s="683"/>
      <c r="J30" s="683"/>
      <c r="K30" s="683"/>
      <c r="L30" s="684"/>
    </row>
    <row r="31" spans="2:12" ht="25.5">
      <c r="B31" s="658">
        <v>1</v>
      </c>
      <c r="C31" s="659">
        <v>40204</v>
      </c>
      <c r="D31" s="691" t="s">
        <v>311</v>
      </c>
      <c r="E31" s="691" t="s">
        <v>312</v>
      </c>
      <c r="F31" s="691" t="s">
        <v>313</v>
      </c>
      <c r="G31" s="691" t="s">
        <v>314</v>
      </c>
      <c r="H31" s="609">
        <v>23</v>
      </c>
      <c r="I31" s="609">
        <v>8</v>
      </c>
      <c r="J31" s="609">
        <v>184</v>
      </c>
      <c r="K31" s="609" t="s">
        <v>315</v>
      </c>
      <c r="L31" s="616">
        <v>23</v>
      </c>
    </row>
    <row r="32" spans="2:12" ht="8.25" customHeight="1">
      <c r="B32" s="665"/>
      <c r="C32" s="674"/>
      <c r="D32" s="704"/>
      <c r="E32" s="704"/>
      <c r="F32" s="704"/>
      <c r="G32" s="704"/>
      <c r="H32" s="610"/>
      <c r="I32" s="610"/>
      <c r="J32" s="610"/>
      <c r="K32" s="610"/>
      <c r="L32" s="617"/>
    </row>
    <row r="33" spans="2:12">
      <c r="B33" s="658">
        <v>2</v>
      </c>
      <c r="C33" s="659">
        <v>40319</v>
      </c>
      <c r="D33" s="691" t="s">
        <v>329</v>
      </c>
      <c r="E33" s="691" t="s">
        <v>330</v>
      </c>
      <c r="F33" s="691" t="s">
        <v>303</v>
      </c>
      <c r="G33" s="691" t="s">
        <v>303</v>
      </c>
      <c r="H33" s="609">
        <v>35</v>
      </c>
      <c r="I33" s="609">
        <v>8</v>
      </c>
      <c r="J33" s="609">
        <v>280</v>
      </c>
      <c r="K33" s="609" t="s">
        <v>315</v>
      </c>
      <c r="L33" s="616">
        <v>35</v>
      </c>
    </row>
    <row r="34" spans="2:12" s="677" customFormat="1" ht="17.25" customHeight="1">
      <c r="B34" s="685">
        <v>3</v>
      </c>
      <c r="C34" s="686">
        <v>40514</v>
      </c>
      <c r="D34" s="687" t="s">
        <v>331</v>
      </c>
      <c r="E34" s="687" t="s">
        <v>332</v>
      </c>
      <c r="F34" s="687" t="s">
        <v>333</v>
      </c>
      <c r="G34" s="687" t="s">
        <v>303</v>
      </c>
      <c r="H34" s="687">
        <v>6</v>
      </c>
      <c r="I34" s="687">
        <v>4</v>
      </c>
      <c r="J34" s="687">
        <v>24</v>
      </c>
      <c r="K34" s="687" t="s">
        <v>304</v>
      </c>
      <c r="L34" s="688"/>
    </row>
    <row r="35" spans="2:12" ht="6" customHeight="1">
      <c r="B35" s="665"/>
      <c r="C35" s="674"/>
      <c r="D35" s="704"/>
      <c r="E35" s="704"/>
      <c r="F35" s="704"/>
      <c r="G35" s="704"/>
      <c r="H35" s="610"/>
      <c r="I35" s="610"/>
      <c r="J35" s="610"/>
      <c r="K35" s="610"/>
      <c r="L35" s="617"/>
    </row>
    <row r="36" spans="2:12" ht="25.5">
      <c r="B36" s="658">
        <v>4</v>
      </c>
      <c r="C36" s="706" t="s">
        <v>399</v>
      </c>
      <c r="D36" s="691" t="s">
        <v>334</v>
      </c>
      <c r="E36" s="691" t="s">
        <v>335</v>
      </c>
      <c r="F36" s="691" t="s">
        <v>336</v>
      </c>
      <c r="G36" s="691" t="s">
        <v>337</v>
      </c>
      <c r="H36" s="609">
        <v>9</v>
      </c>
      <c r="I36" s="609">
        <v>2</v>
      </c>
      <c r="J36" s="609">
        <v>18</v>
      </c>
      <c r="K36" s="609" t="s">
        <v>315</v>
      </c>
      <c r="L36" s="616">
        <v>4</v>
      </c>
    </row>
    <row r="37" spans="2:12" ht="38.25">
      <c r="B37" s="658">
        <v>5</v>
      </c>
      <c r="C37" s="659">
        <v>40477</v>
      </c>
      <c r="D37" s="691" t="s">
        <v>362</v>
      </c>
      <c r="E37" s="691" t="s">
        <v>338</v>
      </c>
      <c r="F37" s="691" t="s">
        <v>303</v>
      </c>
      <c r="G37" s="691" t="s">
        <v>339</v>
      </c>
      <c r="H37" s="609">
        <v>1</v>
      </c>
      <c r="I37" s="609">
        <v>14</v>
      </c>
      <c r="J37" s="609">
        <v>14</v>
      </c>
      <c r="K37" s="609" t="s">
        <v>340</v>
      </c>
      <c r="L37" s="616">
        <v>1</v>
      </c>
    </row>
    <row r="38" spans="2:12" ht="6" customHeight="1">
      <c r="B38" s="665"/>
      <c r="C38" s="674"/>
      <c r="D38" s="610"/>
      <c r="E38" s="610"/>
      <c r="F38" s="610"/>
      <c r="G38" s="610"/>
      <c r="H38" s="610"/>
      <c r="I38" s="610"/>
      <c r="J38" s="610"/>
      <c r="K38" s="610"/>
      <c r="L38" s="617"/>
    </row>
    <row r="39" spans="2:12" ht="63.75">
      <c r="B39" s="658">
        <v>6</v>
      </c>
      <c r="C39" s="686" t="s">
        <v>400</v>
      </c>
      <c r="D39" s="691" t="s">
        <v>395</v>
      </c>
      <c r="E39" s="691" t="s">
        <v>396</v>
      </c>
      <c r="F39" s="691" t="s">
        <v>397</v>
      </c>
      <c r="G39" s="691" t="s">
        <v>398</v>
      </c>
      <c r="H39" s="609">
        <v>18</v>
      </c>
      <c r="I39" s="609">
        <v>40</v>
      </c>
      <c r="J39" s="609">
        <v>600</v>
      </c>
      <c r="K39" s="609" t="s">
        <v>315</v>
      </c>
      <c r="L39" s="616">
        <v>3</v>
      </c>
    </row>
    <row r="40" spans="2:12" hidden="1">
      <c r="B40" s="658"/>
      <c r="C40" s="659"/>
      <c r="D40" s="609"/>
      <c r="E40" s="609"/>
      <c r="F40" s="609"/>
      <c r="G40" s="609"/>
      <c r="H40" s="609"/>
      <c r="I40" s="609"/>
      <c r="J40" s="609"/>
      <c r="K40" s="609"/>
      <c r="L40" s="616"/>
    </row>
    <row r="41" spans="2:12" ht="6" customHeight="1">
      <c r="B41" s="665"/>
      <c r="C41" s="674"/>
      <c r="D41" s="610"/>
      <c r="E41" s="610"/>
      <c r="F41" s="610"/>
      <c r="G41" s="610"/>
      <c r="H41" s="610"/>
      <c r="I41" s="610"/>
      <c r="J41" s="610"/>
      <c r="K41" s="610"/>
      <c r="L41" s="617"/>
    </row>
    <row r="42" spans="2:12" hidden="1">
      <c r="B42" s="658"/>
      <c r="C42" s="659"/>
      <c r="D42" s="609"/>
      <c r="E42" s="609"/>
      <c r="F42" s="609"/>
      <c r="G42" s="609"/>
      <c r="H42" s="609"/>
      <c r="I42" s="609"/>
      <c r="J42" s="609"/>
      <c r="K42" s="609"/>
      <c r="L42" s="616"/>
    </row>
    <row r="43" spans="2:12" hidden="1">
      <c r="B43" s="658"/>
      <c r="C43" s="659"/>
      <c r="D43" s="609"/>
      <c r="E43" s="609"/>
      <c r="F43" s="609"/>
      <c r="G43" s="613"/>
      <c r="H43" s="613"/>
      <c r="I43" s="609"/>
      <c r="J43" s="609"/>
      <c r="K43" s="609"/>
      <c r="L43" s="616"/>
    </row>
    <row r="44" spans="2:12" ht="6" hidden="1" customHeight="1">
      <c r="B44" s="665"/>
      <c r="C44" s="674"/>
      <c r="D44" s="610"/>
      <c r="E44" s="610"/>
      <c r="F44" s="610"/>
      <c r="G44" s="610"/>
      <c r="H44" s="610"/>
      <c r="I44" s="610"/>
      <c r="J44" s="610"/>
      <c r="K44" s="610"/>
      <c r="L44" s="617"/>
    </row>
    <row r="45" spans="2:12" hidden="1">
      <c r="B45" s="658"/>
      <c r="C45" s="659"/>
      <c r="D45" s="609"/>
      <c r="E45" s="609"/>
      <c r="F45" s="609"/>
      <c r="G45" s="609"/>
      <c r="H45" s="609"/>
      <c r="I45" s="609"/>
      <c r="J45" s="609"/>
      <c r="K45" s="609"/>
      <c r="L45" s="616"/>
    </row>
    <row r="46" spans="2:12" hidden="1">
      <c r="B46" s="658"/>
      <c r="C46" s="659"/>
      <c r="D46" s="609"/>
      <c r="E46" s="609"/>
      <c r="F46" s="609"/>
      <c r="G46" s="613"/>
      <c r="H46" s="613"/>
      <c r="I46" s="609"/>
      <c r="J46" s="609"/>
      <c r="K46" s="609"/>
      <c r="L46" s="616"/>
    </row>
    <row r="47" spans="2:12">
      <c r="B47" s="666" t="s">
        <v>269</v>
      </c>
      <c r="C47" s="675" t="s">
        <v>270</v>
      </c>
      <c r="D47" s="611">
        <v>5</v>
      </c>
      <c r="E47" s="610"/>
      <c r="F47" s="610"/>
      <c r="G47" s="614"/>
      <c r="H47" s="611">
        <f>SUM(H31:H43)</f>
        <v>92</v>
      </c>
      <c r="I47" s="610"/>
      <c r="J47" s="611">
        <f>SUM(J31:J43)</f>
        <v>1120</v>
      </c>
      <c r="K47" s="614"/>
      <c r="L47" s="605">
        <f>SUM(L31:L43)</f>
        <v>66</v>
      </c>
    </row>
    <row r="48" spans="2:12" ht="3.75" customHeight="1" thickBot="1">
      <c r="B48" s="667"/>
      <c r="C48" s="676"/>
      <c r="D48" s="612"/>
      <c r="E48" s="612"/>
      <c r="F48" s="612"/>
      <c r="G48" s="612"/>
      <c r="H48" s="612"/>
      <c r="I48" s="612"/>
      <c r="J48" s="612"/>
      <c r="K48" s="612"/>
      <c r="L48" s="618"/>
    </row>
  </sheetData>
  <phoneticPr fontId="3" type="noConversion"/>
  <printOptions horizontalCentered="1" verticalCentered="1"/>
  <pageMargins left="0" right="0" top="0.25" bottom="0.75" header="0.3" footer="0.3"/>
  <pageSetup scale="71" orientation="landscape" r:id="rId1"/>
  <headerFooter alignWithMargins="0">
    <oddFooter>&amp;L&amp;8&amp;A&amp;C&amp;8&amp;P of &amp;N&amp;R&amp;D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7"/>
    <pageSetUpPr fitToPage="1"/>
  </sheetPr>
  <dimension ref="B1:H42"/>
  <sheetViews>
    <sheetView zoomScale="80" zoomScaleNormal="80" workbookViewId="0">
      <selection activeCell="D15" sqref="D15"/>
    </sheetView>
  </sheetViews>
  <sheetFormatPr defaultColWidth="10.28515625" defaultRowHeight="15"/>
  <cols>
    <col min="1" max="1" width="0.85546875" style="331" customWidth="1"/>
    <col min="2" max="2" width="24.42578125" style="332" bestFit="1" customWidth="1"/>
    <col min="3" max="3" width="1.85546875" style="332" customWidth="1"/>
    <col min="4" max="4" width="35" style="333" customWidth="1"/>
    <col min="5" max="5" width="1.85546875" style="334" customWidth="1"/>
    <col min="6" max="6" width="35" style="335" customWidth="1"/>
    <col min="7" max="7" width="1.85546875" style="334" customWidth="1"/>
    <col min="8" max="8" width="35" style="336" customWidth="1"/>
    <col min="9" max="16384" width="10.28515625" style="331"/>
  </cols>
  <sheetData>
    <row r="1" spans="2:8" ht="5.0999999999999996" customHeight="1"/>
    <row r="2" spans="2:8" ht="26.25">
      <c r="B2" s="937" t="s">
        <v>100</v>
      </c>
      <c r="C2" s="938"/>
      <c r="D2" s="938"/>
      <c r="E2" s="938"/>
      <c r="F2" s="938"/>
      <c r="G2" s="938"/>
      <c r="H2" s="939"/>
    </row>
    <row r="3" spans="2:8" ht="15.75" thickBot="1">
      <c r="B3" s="337"/>
      <c r="C3" s="338"/>
      <c r="D3" s="339"/>
      <c r="E3" s="340"/>
      <c r="F3" s="341"/>
      <c r="G3" s="340"/>
      <c r="H3" s="342"/>
    </row>
    <row r="4" spans="2:8" s="343" customFormat="1">
      <c r="B4" s="344" t="s">
        <v>26</v>
      </c>
      <c r="C4" s="345"/>
      <c r="D4" s="370" t="s">
        <v>26</v>
      </c>
      <c r="E4" s="345"/>
      <c r="F4" s="371" t="s">
        <v>85</v>
      </c>
      <c r="G4" s="345"/>
      <c r="H4" s="372" t="s">
        <v>86</v>
      </c>
    </row>
    <row r="5" spans="2:8" s="343" customFormat="1">
      <c r="B5" s="346" t="s">
        <v>74</v>
      </c>
      <c r="C5" s="347"/>
      <c r="D5" s="373" t="s">
        <v>87</v>
      </c>
      <c r="E5" s="347"/>
      <c r="F5" s="374" t="s">
        <v>88</v>
      </c>
      <c r="G5" s="347"/>
      <c r="H5" s="375" t="s">
        <v>89</v>
      </c>
    </row>
    <row r="6" spans="2:8" s="343" customFormat="1">
      <c r="B6" s="350"/>
      <c r="C6" s="347"/>
      <c r="D6" s="351"/>
      <c r="E6" s="347"/>
      <c r="F6" s="352"/>
      <c r="G6" s="347"/>
      <c r="H6" s="353"/>
    </row>
    <row r="7" spans="2:8" ht="24.75" customHeight="1">
      <c r="B7" s="940" t="s">
        <v>402</v>
      </c>
      <c r="C7" s="338"/>
      <c r="D7" s="360" t="s">
        <v>419</v>
      </c>
      <c r="E7" s="356"/>
      <c r="F7" s="360" t="s">
        <v>347</v>
      </c>
      <c r="G7" s="356"/>
      <c r="H7" s="361" t="s">
        <v>349</v>
      </c>
    </row>
    <row r="8" spans="2:8">
      <c r="B8" s="941"/>
      <c r="C8" s="338"/>
      <c r="D8" s="360"/>
      <c r="E8" s="356"/>
      <c r="F8" s="360"/>
      <c r="G8" s="356"/>
      <c r="H8" s="361"/>
    </row>
    <row r="9" spans="2:8" ht="15.75">
      <c r="B9" s="346"/>
      <c r="C9" s="338"/>
      <c r="D9" s="363"/>
      <c r="E9" s="356"/>
      <c r="F9" s="363"/>
      <c r="G9" s="356"/>
      <c r="H9" s="364"/>
    </row>
    <row r="10" spans="2:8" ht="24">
      <c r="B10" s="693" t="s">
        <v>370</v>
      </c>
      <c r="C10" s="338"/>
      <c r="D10" s="360" t="s">
        <v>342</v>
      </c>
      <c r="E10" s="356"/>
      <c r="F10" s="360" t="s">
        <v>341</v>
      </c>
      <c r="G10" s="356"/>
      <c r="H10" s="361" t="s">
        <v>350</v>
      </c>
    </row>
    <row r="11" spans="2:8" ht="15.75">
      <c r="B11" s="346"/>
      <c r="C11" s="338"/>
      <c r="D11" s="363"/>
      <c r="E11" s="356"/>
      <c r="F11" s="363"/>
      <c r="G11" s="356"/>
      <c r="H11" s="364"/>
    </row>
    <row r="12" spans="2:8" ht="36">
      <c r="B12" s="941" t="s">
        <v>366</v>
      </c>
      <c r="C12" s="338"/>
      <c r="D12" s="689" t="s">
        <v>360</v>
      </c>
      <c r="E12" s="356"/>
      <c r="F12" s="360" t="s">
        <v>373</v>
      </c>
      <c r="G12" s="356"/>
      <c r="H12" s="361"/>
    </row>
    <row r="13" spans="2:8" ht="48">
      <c r="B13" s="941"/>
      <c r="C13" s="338"/>
      <c r="D13" s="689" t="s">
        <v>361</v>
      </c>
      <c r="E13" s="356"/>
      <c r="F13" s="360" t="s">
        <v>375</v>
      </c>
      <c r="G13" s="356"/>
      <c r="H13" s="361" t="s">
        <v>350</v>
      </c>
    </row>
    <row r="14" spans="2:8" ht="36">
      <c r="B14" s="941"/>
      <c r="C14" s="338"/>
      <c r="D14" s="689" t="s">
        <v>379</v>
      </c>
      <c r="E14" s="356"/>
      <c r="F14" s="360" t="s">
        <v>374</v>
      </c>
      <c r="G14" s="356"/>
      <c r="H14" s="361"/>
    </row>
    <row r="15" spans="2:8" ht="46.5" customHeight="1">
      <c r="B15" s="941"/>
      <c r="C15" s="338"/>
      <c r="D15" s="689" t="s">
        <v>420</v>
      </c>
      <c r="E15" s="356"/>
      <c r="F15" s="360"/>
      <c r="G15" s="356"/>
      <c r="H15" s="361"/>
    </row>
    <row r="16" spans="2:8" ht="15.75">
      <c r="B16" s="346"/>
      <c r="C16" s="338"/>
      <c r="D16" s="363"/>
      <c r="E16" s="356"/>
      <c r="F16" s="363"/>
      <c r="G16" s="356"/>
      <c r="H16" s="364"/>
    </row>
    <row r="17" spans="2:8" ht="72">
      <c r="B17" s="936" t="s">
        <v>357</v>
      </c>
      <c r="C17" s="338"/>
      <c r="D17" s="360" t="s">
        <v>343</v>
      </c>
      <c r="E17" s="356"/>
      <c r="F17" s="360" t="s">
        <v>341</v>
      </c>
      <c r="G17" s="356"/>
      <c r="H17" s="361" t="s">
        <v>380</v>
      </c>
    </row>
    <row r="18" spans="2:8" ht="14.25" hidden="1" customHeight="1">
      <c r="B18" s="936"/>
      <c r="C18" s="338"/>
      <c r="D18" s="360"/>
      <c r="E18" s="356"/>
      <c r="F18" s="360"/>
      <c r="G18" s="356"/>
      <c r="H18" s="361"/>
    </row>
    <row r="19" spans="2:8" ht="14.25" hidden="1" customHeight="1">
      <c r="B19" s="936"/>
      <c r="C19" s="338"/>
      <c r="D19" s="360"/>
      <c r="E19" s="356"/>
      <c r="F19" s="360"/>
      <c r="G19" s="356"/>
      <c r="H19" s="361"/>
    </row>
    <row r="20" spans="2:8" ht="15.75">
      <c r="B20" s="346"/>
      <c r="C20" s="338"/>
      <c r="D20" s="363"/>
      <c r="E20" s="356"/>
      <c r="F20" s="363"/>
      <c r="G20" s="356"/>
      <c r="H20" s="364"/>
    </row>
    <row r="21" spans="2:8" ht="102.75" customHeight="1">
      <c r="B21" s="692" t="s">
        <v>368</v>
      </c>
      <c r="C21" s="338"/>
      <c r="D21" s="360" t="s">
        <v>344</v>
      </c>
      <c r="E21" s="356"/>
      <c r="F21" s="360" t="s">
        <v>345</v>
      </c>
      <c r="G21" s="356"/>
      <c r="H21" s="365" t="s">
        <v>376</v>
      </c>
    </row>
    <row r="22" spans="2:8" ht="15.75">
      <c r="B22" s="346"/>
      <c r="C22" s="338"/>
      <c r="D22" s="363"/>
      <c r="E22" s="356"/>
      <c r="F22" s="363"/>
      <c r="G22" s="356"/>
      <c r="H22" s="364"/>
    </row>
    <row r="23" spans="2:8" ht="45.75" customHeight="1">
      <c r="B23" s="712" t="s">
        <v>394</v>
      </c>
      <c r="C23" s="338"/>
      <c r="D23" s="360" t="s">
        <v>406</v>
      </c>
      <c r="E23" s="356"/>
      <c r="F23" s="360" t="s">
        <v>346</v>
      </c>
      <c r="G23" s="356"/>
      <c r="H23" s="361" t="s">
        <v>350</v>
      </c>
    </row>
    <row r="24" spans="2:8" ht="15.75">
      <c r="B24" s="346"/>
      <c r="C24" s="338"/>
      <c r="D24" s="363"/>
      <c r="E24" s="356"/>
      <c r="F24" s="363"/>
      <c r="G24" s="356"/>
      <c r="H24" s="364"/>
    </row>
    <row r="25" spans="2:8" ht="45.75" customHeight="1">
      <c r="B25" s="693" t="s">
        <v>371</v>
      </c>
      <c r="C25" s="338"/>
      <c r="D25" s="360" t="s">
        <v>348</v>
      </c>
      <c r="E25" s="356"/>
      <c r="F25" s="360"/>
      <c r="G25" s="356"/>
      <c r="H25" s="361"/>
    </row>
    <row r="26" spans="2:8" ht="15.75">
      <c r="B26" s="346"/>
      <c r="C26" s="338"/>
      <c r="D26" s="363"/>
      <c r="E26" s="356"/>
      <c r="F26" s="363"/>
      <c r="G26" s="356"/>
      <c r="H26" s="364"/>
    </row>
    <row r="27" spans="2:8" ht="48">
      <c r="B27" s="716" t="s">
        <v>403</v>
      </c>
      <c r="C27" s="338"/>
      <c r="D27" s="360" t="s">
        <v>401</v>
      </c>
      <c r="E27" s="356"/>
      <c r="F27" s="360" t="s">
        <v>404</v>
      </c>
      <c r="G27" s="356"/>
      <c r="H27" s="365" t="s">
        <v>405</v>
      </c>
    </row>
    <row r="28" spans="2:8" ht="15.75" hidden="1">
      <c r="B28" s="346"/>
      <c r="C28" s="338"/>
      <c r="D28" s="363"/>
      <c r="E28" s="356"/>
      <c r="F28" s="363"/>
      <c r="G28" s="356"/>
      <c r="H28" s="364"/>
    </row>
    <row r="29" spans="2:8" hidden="1">
      <c r="B29" s="362" t="s">
        <v>0</v>
      </c>
      <c r="C29" s="338"/>
      <c r="D29" s="360"/>
      <c r="E29" s="356"/>
      <c r="F29" s="360"/>
      <c r="G29" s="356"/>
      <c r="H29" s="361"/>
    </row>
    <row r="30" spans="2:8" ht="15.75" hidden="1">
      <c r="B30" s="346"/>
      <c r="C30" s="338"/>
      <c r="D30" s="363"/>
      <c r="E30" s="356"/>
      <c r="F30" s="363"/>
      <c r="G30" s="356"/>
      <c r="H30" s="364"/>
    </row>
    <row r="31" spans="2:8" hidden="1">
      <c r="B31" s="362" t="s">
        <v>0</v>
      </c>
      <c r="C31" s="338"/>
      <c r="D31" s="360"/>
      <c r="E31" s="356"/>
      <c r="F31" s="360"/>
      <c r="G31" s="356"/>
      <c r="H31" s="361"/>
    </row>
    <row r="32" spans="2:8" ht="15.75" hidden="1">
      <c r="B32" s="346"/>
      <c r="C32" s="338"/>
      <c r="D32" s="363"/>
      <c r="E32" s="356"/>
      <c r="F32" s="363"/>
      <c r="G32" s="356"/>
      <c r="H32" s="364"/>
    </row>
    <row r="33" spans="2:8" hidden="1">
      <c r="B33" s="362" t="s">
        <v>0</v>
      </c>
      <c r="C33" s="338"/>
      <c r="D33" s="360"/>
      <c r="E33" s="356"/>
      <c r="F33" s="360"/>
      <c r="G33" s="356"/>
      <c r="H33" s="361"/>
    </row>
    <row r="34" spans="2:8" ht="15.75" hidden="1">
      <c r="B34" s="346"/>
      <c r="C34" s="338"/>
      <c r="D34" s="363"/>
      <c r="E34" s="356"/>
      <c r="F34" s="363"/>
      <c r="G34" s="356"/>
      <c r="H34" s="364"/>
    </row>
    <row r="35" spans="2:8" hidden="1">
      <c r="B35" s="362" t="s">
        <v>0</v>
      </c>
      <c r="C35" s="338"/>
      <c r="D35" s="360"/>
      <c r="E35" s="356"/>
      <c r="F35" s="360"/>
      <c r="G35" s="356"/>
      <c r="H35" s="361"/>
    </row>
    <row r="36" spans="2:8" ht="15.75" hidden="1">
      <c r="B36" s="346"/>
      <c r="C36" s="338"/>
      <c r="D36" s="363"/>
      <c r="E36" s="356"/>
      <c r="F36" s="363"/>
      <c r="G36" s="356"/>
      <c r="H36" s="364"/>
    </row>
    <row r="37" spans="2:8" hidden="1">
      <c r="B37" s="362" t="s">
        <v>0</v>
      </c>
      <c r="C37" s="338"/>
      <c r="D37" s="360"/>
      <c r="E37" s="356"/>
      <c r="F37" s="360"/>
      <c r="G37" s="356"/>
      <c r="H37" s="361"/>
    </row>
    <row r="38" spans="2:8" ht="15.75" hidden="1">
      <c r="B38" s="346"/>
      <c r="C38" s="338"/>
      <c r="D38" s="363"/>
      <c r="E38" s="356"/>
      <c r="F38" s="363"/>
      <c r="G38" s="356"/>
      <c r="H38" s="364"/>
    </row>
    <row r="39" spans="2:8" hidden="1">
      <c r="B39" s="362" t="s">
        <v>0</v>
      </c>
      <c r="C39" s="338"/>
      <c r="D39" s="360"/>
      <c r="E39" s="356"/>
      <c r="F39" s="360"/>
      <c r="G39" s="356"/>
      <c r="H39" s="361"/>
    </row>
    <row r="40" spans="2:8" ht="15.75" hidden="1">
      <c r="B40" s="346"/>
      <c r="C40" s="338"/>
      <c r="D40" s="363"/>
      <c r="E40" s="356"/>
      <c r="F40" s="363"/>
      <c r="G40" s="356"/>
      <c r="H40" s="364"/>
    </row>
    <row r="41" spans="2:8" hidden="1">
      <c r="B41" s="362" t="s">
        <v>0</v>
      </c>
      <c r="C41" s="338"/>
      <c r="D41" s="360"/>
      <c r="E41" s="356"/>
      <c r="F41" s="360"/>
      <c r="G41" s="356"/>
      <c r="H41" s="361"/>
    </row>
    <row r="42" spans="2:8" ht="15.75" thickBot="1">
      <c r="B42" s="376"/>
      <c r="C42" s="366"/>
      <c r="D42" s="367"/>
      <c r="E42" s="368"/>
      <c r="F42" s="367"/>
      <c r="G42" s="368"/>
      <c r="H42" s="369"/>
    </row>
  </sheetData>
  <mergeCells count="4">
    <mergeCell ref="B17:B19"/>
    <mergeCell ref="B2:H2"/>
    <mergeCell ref="B7:B8"/>
    <mergeCell ref="B12:B15"/>
  </mergeCells>
  <phoneticPr fontId="3" type="noConversion"/>
  <printOptions horizontalCentered="1"/>
  <pageMargins left="0" right="0" top="0.25" bottom="0.75" header="0.3" footer="0.3"/>
  <pageSetup scale="72" orientation="landscape" r:id="rId1"/>
  <headerFooter alignWithMargins="0">
    <oddFooter>&amp;L&amp;8&amp;A&amp;C&amp;8&amp;P of &amp;N&amp;R&amp;D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7"/>
    <pageSetUpPr fitToPage="1"/>
  </sheetPr>
  <dimension ref="B1:H37"/>
  <sheetViews>
    <sheetView zoomScale="120" zoomScaleNormal="120" workbookViewId="0">
      <selection activeCell="B4" sqref="B4:H37"/>
    </sheetView>
  </sheetViews>
  <sheetFormatPr defaultColWidth="10.28515625" defaultRowHeight="15"/>
  <cols>
    <col min="1" max="1" width="0.85546875" style="331" customWidth="1"/>
    <col min="2" max="2" width="24.42578125" style="332" bestFit="1" customWidth="1"/>
    <col min="3" max="3" width="1.85546875" style="332" customWidth="1"/>
    <col min="4" max="4" width="35" style="333" customWidth="1"/>
    <col min="5" max="5" width="1.85546875" style="334" customWidth="1"/>
    <col min="6" max="6" width="35" style="335" customWidth="1"/>
    <col min="7" max="7" width="1.85546875" style="334" customWidth="1"/>
    <col min="8" max="8" width="35" style="336" customWidth="1"/>
    <col min="9" max="16384" width="10.28515625" style="331"/>
  </cols>
  <sheetData>
    <row r="1" spans="2:8" ht="5.0999999999999996" customHeight="1"/>
    <row r="2" spans="2:8" ht="26.25">
      <c r="B2" s="937" t="s">
        <v>110</v>
      </c>
      <c r="C2" s="938"/>
      <c r="D2" s="938"/>
      <c r="E2" s="938"/>
      <c r="F2" s="938"/>
      <c r="G2" s="938"/>
      <c r="H2" s="939"/>
    </row>
    <row r="3" spans="2:8" ht="15.75" thickBot="1">
      <c r="B3" s="337"/>
      <c r="C3" s="338"/>
      <c r="D3" s="339"/>
      <c r="E3" s="340"/>
      <c r="F3" s="341"/>
      <c r="G3" s="340"/>
      <c r="H3" s="342"/>
    </row>
    <row r="4" spans="2:8" s="343" customFormat="1">
      <c r="B4" s="344" t="s">
        <v>26</v>
      </c>
      <c r="C4" s="345"/>
      <c r="D4" s="942" t="s">
        <v>90</v>
      </c>
      <c r="E4" s="943"/>
      <c r="F4" s="943"/>
      <c r="G4" s="943"/>
      <c r="H4" s="944"/>
    </row>
    <row r="5" spans="2:8" s="343" customFormat="1">
      <c r="B5" s="346" t="s">
        <v>74</v>
      </c>
      <c r="C5" s="347"/>
      <c r="D5" s="348" t="s">
        <v>91</v>
      </c>
      <c r="E5" s="347"/>
      <c r="F5" s="348" t="s">
        <v>92</v>
      </c>
      <c r="G5" s="347"/>
      <c r="H5" s="349" t="s">
        <v>93</v>
      </c>
    </row>
    <row r="6" spans="2:8" s="343" customFormat="1">
      <c r="B6" s="350"/>
      <c r="C6" s="347"/>
      <c r="D6" s="351" t="s">
        <v>26</v>
      </c>
      <c r="E6" s="347"/>
      <c r="F6" s="352" t="s">
        <v>94</v>
      </c>
      <c r="G6" s="347"/>
      <c r="H6" s="353" t="s">
        <v>95</v>
      </c>
    </row>
    <row r="7" spans="2:8">
      <c r="B7" s="354"/>
      <c r="C7" s="338"/>
      <c r="D7" s="355"/>
      <c r="E7" s="356"/>
      <c r="F7" s="357"/>
      <c r="G7" s="356"/>
      <c r="H7" s="358"/>
    </row>
    <row r="8" spans="2:8" ht="48">
      <c r="B8" s="715" t="s">
        <v>410</v>
      </c>
      <c r="C8" s="338"/>
      <c r="D8" s="719" t="s">
        <v>411</v>
      </c>
      <c r="E8" s="356"/>
      <c r="F8" s="719" t="s">
        <v>412</v>
      </c>
      <c r="G8" s="356"/>
      <c r="H8" s="365" t="s">
        <v>413</v>
      </c>
    </row>
    <row r="9" spans="2:8">
      <c r="B9" s="359"/>
      <c r="C9" s="338"/>
      <c r="D9" s="363"/>
      <c r="E9" s="356"/>
      <c r="F9" s="363"/>
      <c r="G9" s="356"/>
      <c r="H9" s="364"/>
    </row>
    <row r="10" spans="2:8" ht="60">
      <c r="B10" s="715" t="s">
        <v>394</v>
      </c>
      <c r="C10" s="338"/>
      <c r="D10" s="689" t="s">
        <v>351</v>
      </c>
      <c r="E10" s="356"/>
      <c r="F10" s="689" t="s">
        <v>351</v>
      </c>
      <c r="G10" s="356"/>
      <c r="H10" s="365" t="s">
        <v>352</v>
      </c>
    </row>
    <row r="11" spans="2:8">
      <c r="B11" s="359"/>
      <c r="C11" s="338"/>
      <c r="D11" s="363"/>
      <c r="E11" s="356"/>
      <c r="F11" s="363"/>
      <c r="G11" s="356"/>
      <c r="H11" s="364"/>
    </row>
    <row r="12" spans="2:8" ht="60">
      <c r="B12" s="715" t="s">
        <v>353</v>
      </c>
      <c r="C12" s="338"/>
      <c r="D12" s="689" t="s">
        <v>363</v>
      </c>
      <c r="E12" s="356"/>
      <c r="F12" s="689" t="s">
        <v>354</v>
      </c>
      <c r="G12" s="356"/>
      <c r="H12" s="365" t="s">
        <v>355</v>
      </c>
    </row>
    <row r="13" spans="2:8">
      <c r="B13" s="359"/>
      <c r="C13" s="338"/>
      <c r="D13" s="363"/>
      <c r="E13" s="356"/>
      <c r="F13" s="363"/>
      <c r="G13" s="356"/>
      <c r="H13" s="364"/>
    </row>
    <row r="14" spans="2:8" ht="72">
      <c r="B14" s="715" t="s">
        <v>356</v>
      </c>
      <c r="C14" s="338"/>
      <c r="D14" s="707" t="s">
        <v>372</v>
      </c>
      <c r="E14" s="356"/>
      <c r="F14" s="707" t="s">
        <v>414</v>
      </c>
      <c r="G14" s="356"/>
      <c r="H14" s="365" t="s">
        <v>415</v>
      </c>
    </row>
    <row r="15" spans="2:8">
      <c r="B15" s="359"/>
      <c r="C15" s="338"/>
      <c r="D15" s="363"/>
      <c r="E15" s="356"/>
      <c r="F15" s="363"/>
      <c r="G15" s="356"/>
      <c r="H15" s="364"/>
    </row>
    <row r="16" spans="2:8" ht="96">
      <c r="B16" s="715" t="s">
        <v>357</v>
      </c>
      <c r="C16" s="338"/>
      <c r="D16" s="690" t="s">
        <v>364</v>
      </c>
      <c r="E16" s="356"/>
      <c r="F16" s="689" t="s">
        <v>381</v>
      </c>
      <c r="G16" s="356"/>
      <c r="H16" s="365" t="s">
        <v>358</v>
      </c>
    </row>
    <row r="17" spans="2:8">
      <c r="B17" s="359"/>
      <c r="C17" s="338"/>
      <c r="D17" s="363"/>
      <c r="E17" s="356"/>
      <c r="F17" s="363"/>
      <c r="G17" s="356"/>
      <c r="H17" s="364"/>
    </row>
    <row r="18" spans="2:8" ht="144">
      <c r="B18" s="715" t="s">
        <v>359</v>
      </c>
      <c r="C18" s="338"/>
      <c r="D18" s="689" t="s">
        <v>365</v>
      </c>
      <c r="E18" s="356"/>
      <c r="F18" s="689" t="s">
        <v>382</v>
      </c>
      <c r="G18" s="356"/>
      <c r="H18" s="365" t="s">
        <v>383</v>
      </c>
    </row>
    <row r="19" spans="2:8">
      <c r="B19" s="359"/>
      <c r="C19" s="338"/>
      <c r="D19" s="363"/>
      <c r="E19" s="356"/>
      <c r="F19" s="363"/>
      <c r="G19" s="356"/>
      <c r="H19" s="364"/>
    </row>
    <row r="20" spans="2:8" ht="72">
      <c r="B20" s="716" t="s">
        <v>403</v>
      </c>
      <c r="C20" s="338"/>
      <c r="D20" s="360" t="s">
        <v>407</v>
      </c>
      <c r="E20" s="356"/>
      <c r="F20" s="360" t="s">
        <v>408</v>
      </c>
      <c r="G20" s="356"/>
      <c r="H20" s="365" t="s">
        <v>409</v>
      </c>
    </row>
    <row r="21" spans="2:8" hidden="1">
      <c r="B21" s="359"/>
      <c r="C21" s="338"/>
      <c r="D21" s="363"/>
      <c r="E21" s="356"/>
      <c r="F21" s="363"/>
      <c r="G21" s="356"/>
      <c r="H21" s="364"/>
    </row>
    <row r="22" spans="2:8" hidden="1">
      <c r="B22" s="362" t="s">
        <v>0</v>
      </c>
      <c r="C22" s="338"/>
      <c r="D22" s="360"/>
      <c r="E22" s="356"/>
      <c r="F22" s="360"/>
      <c r="G22" s="356"/>
      <c r="H22" s="361"/>
    </row>
    <row r="23" spans="2:8" hidden="1">
      <c r="B23" s="359"/>
      <c r="C23" s="338"/>
      <c r="D23" s="363"/>
      <c r="E23" s="356"/>
      <c r="F23" s="363"/>
      <c r="G23" s="356"/>
      <c r="H23" s="364"/>
    </row>
    <row r="24" spans="2:8" hidden="1">
      <c r="B24" s="362" t="s">
        <v>0</v>
      </c>
      <c r="C24" s="338"/>
      <c r="D24" s="360"/>
      <c r="E24" s="356"/>
      <c r="F24" s="360"/>
      <c r="G24" s="356"/>
      <c r="H24" s="361"/>
    </row>
    <row r="25" spans="2:8" hidden="1">
      <c r="B25" s="359"/>
      <c r="C25" s="338"/>
      <c r="D25" s="363"/>
      <c r="E25" s="356"/>
      <c r="F25" s="363"/>
      <c r="G25" s="356"/>
      <c r="H25" s="364"/>
    </row>
    <row r="26" spans="2:8" hidden="1">
      <c r="B26" s="362" t="s">
        <v>0</v>
      </c>
      <c r="C26" s="338"/>
      <c r="D26" s="360"/>
      <c r="E26" s="356"/>
      <c r="F26" s="360"/>
      <c r="G26" s="356"/>
      <c r="H26" s="361"/>
    </row>
    <row r="27" spans="2:8" hidden="1">
      <c r="B27" s="359"/>
      <c r="C27" s="338"/>
      <c r="D27" s="363"/>
      <c r="E27" s="356"/>
      <c r="F27" s="363"/>
      <c r="G27" s="356"/>
      <c r="H27" s="364"/>
    </row>
    <row r="28" spans="2:8" hidden="1">
      <c r="B28" s="362" t="s">
        <v>0</v>
      </c>
      <c r="C28" s="338"/>
      <c r="D28" s="360"/>
      <c r="E28" s="356"/>
      <c r="F28" s="360"/>
      <c r="G28" s="356"/>
      <c r="H28" s="361"/>
    </row>
    <row r="29" spans="2:8" hidden="1">
      <c r="B29" s="359"/>
      <c r="C29" s="338"/>
      <c r="D29" s="363"/>
      <c r="E29" s="356"/>
      <c r="F29" s="363"/>
      <c r="G29" s="356"/>
      <c r="H29" s="364"/>
    </row>
    <row r="30" spans="2:8" hidden="1">
      <c r="B30" s="362" t="s">
        <v>0</v>
      </c>
      <c r="C30" s="338"/>
      <c r="D30" s="360"/>
      <c r="E30" s="356"/>
      <c r="F30" s="360"/>
      <c r="G30" s="356"/>
      <c r="H30" s="361"/>
    </row>
    <row r="31" spans="2:8" hidden="1">
      <c r="B31" s="359"/>
      <c r="C31" s="338"/>
      <c r="D31" s="363"/>
      <c r="E31" s="356"/>
      <c r="F31" s="363"/>
      <c r="G31" s="356"/>
      <c r="H31" s="364"/>
    </row>
    <row r="32" spans="2:8" hidden="1">
      <c r="B32" s="362" t="s">
        <v>0</v>
      </c>
      <c r="C32" s="338"/>
      <c r="D32" s="360"/>
      <c r="E32" s="356"/>
      <c r="F32" s="360"/>
      <c r="G32" s="356"/>
      <c r="H32" s="361"/>
    </row>
    <row r="33" spans="2:8" hidden="1">
      <c r="B33" s="359"/>
      <c r="C33" s="338"/>
      <c r="D33" s="363"/>
      <c r="E33" s="356"/>
      <c r="F33" s="363"/>
      <c r="G33" s="356"/>
      <c r="H33" s="364"/>
    </row>
    <row r="34" spans="2:8" hidden="1">
      <c r="B34" s="362" t="s">
        <v>0</v>
      </c>
      <c r="C34" s="338"/>
      <c r="D34" s="360"/>
      <c r="E34" s="356"/>
      <c r="F34" s="360"/>
      <c r="G34" s="356"/>
      <c r="H34" s="361"/>
    </row>
    <row r="35" spans="2:8" hidden="1">
      <c r="B35" s="359"/>
      <c r="C35" s="338"/>
      <c r="D35" s="363"/>
      <c r="E35" s="356"/>
      <c r="F35" s="363"/>
      <c r="G35" s="356"/>
      <c r="H35" s="364"/>
    </row>
    <row r="36" spans="2:8" hidden="1">
      <c r="B36" s="362" t="s">
        <v>0</v>
      </c>
      <c r="C36" s="338"/>
      <c r="D36" s="360"/>
      <c r="E36" s="356"/>
      <c r="F36" s="360"/>
      <c r="G36" s="356"/>
      <c r="H36" s="361"/>
    </row>
    <row r="37" spans="2:8" ht="15.75" thickBot="1">
      <c r="B37" s="376"/>
      <c r="C37" s="366"/>
      <c r="D37" s="367"/>
      <c r="E37" s="368"/>
      <c r="F37" s="367"/>
      <c r="G37" s="368"/>
      <c r="H37" s="369"/>
    </row>
  </sheetData>
  <mergeCells count="2">
    <mergeCell ref="B2:H2"/>
    <mergeCell ref="D4:H4"/>
  </mergeCells>
  <phoneticPr fontId="3" type="noConversion"/>
  <printOptions horizontalCentered="1" verticalCentered="1"/>
  <pageMargins left="0" right="0" top="0.25" bottom="0.75" header="0.3" footer="0.3"/>
  <pageSetup scale="71" orientation="landscape" r:id="rId1"/>
  <headerFooter alignWithMargins="0">
    <oddFooter>&amp;L&amp;8&amp;A&amp;C&amp;8&amp;P of &amp;N&amp;R&amp;D</oddFooter>
  </headerFooter>
  <ignoredErrors>
    <ignoredError sqref="B9 B11 B13 B15 B17 B19 B21 B23 B25 B27 B29 B31 B33 B3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7"/>
    <pageSetUpPr fitToPage="1"/>
  </sheetPr>
  <dimension ref="B1:R31"/>
  <sheetViews>
    <sheetView zoomScale="120" zoomScaleNormal="120" workbookViewId="0">
      <selection activeCell="O5" sqref="O5"/>
    </sheetView>
  </sheetViews>
  <sheetFormatPr defaultColWidth="10.28515625" defaultRowHeight="12.75"/>
  <cols>
    <col min="1" max="1" width="0.85546875" style="379" customWidth="1"/>
    <col min="2" max="2" width="9.28515625" style="377" customWidth="1"/>
    <col min="3" max="6" width="11" style="378" customWidth="1"/>
    <col min="7" max="7" width="11.7109375" style="378" customWidth="1"/>
    <col min="8" max="8" width="11" style="378" customWidth="1"/>
    <col min="9" max="9" width="8.42578125" style="378" customWidth="1"/>
    <col min="10" max="10" width="11" style="378" customWidth="1"/>
    <col min="11" max="11" width="8.28515625" style="378" customWidth="1"/>
    <col min="12" max="12" width="11" style="379" customWidth="1"/>
    <col min="13" max="13" width="8" style="379" customWidth="1"/>
    <col min="14" max="14" width="11" style="379" customWidth="1"/>
    <col min="15" max="15" width="7.7109375" style="379" customWidth="1"/>
    <col min="16" max="17" width="11" style="379" customWidth="1"/>
    <col min="18" max="18" width="7.7109375" style="379" customWidth="1"/>
    <col min="19" max="16384" width="10.28515625" style="379"/>
  </cols>
  <sheetData>
    <row r="1" spans="2:18" ht="5.0999999999999996" customHeight="1" thickBot="1"/>
    <row r="2" spans="2:18" ht="24" thickBot="1">
      <c r="B2" s="559" t="s">
        <v>242</v>
      </c>
      <c r="C2" s="560"/>
      <c r="D2" s="560"/>
      <c r="E2" s="560"/>
      <c r="F2" s="560"/>
      <c r="G2" s="560"/>
      <c r="H2" s="560"/>
      <c r="I2" s="560"/>
      <c r="J2" s="560"/>
      <c r="K2" s="560"/>
      <c r="L2" s="560"/>
      <c r="M2" s="561"/>
      <c r="N2" s="548"/>
      <c r="O2" s="548"/>
      <c r="P2" s="548"/>
      <c r="Q2" s="548"/>
      <c r="R2" s="548"/>
    </row>
    <row r="3" spans="2:18" ht="11.25" customHeight="1" thickBot="1">
      <c r="B3" s="267"/>
      <c r="C3" s="558"/>
      <c r="D3" s="558"/>
      <c r="E3" s="267"/>
      <c r="F3" s="267"/>
      <c r="G3" s="267"/>
      <c r="H3" s="267"/>
      <c r="I3" s="267"/>
      <c r="J3" s="267"/>
      <c r="K3" s="267"/>
      <c r="L3" s="267"/>
      <c r="M3" s="267"/>
      <c r="N3" s="548"/>
      <c r="O3" s="548"/>
      <c r="P3" s="548"/>
      <c r="Q3" s="548"/>
      <c r="R3" s="548"/>
    </row>
    <row r="4" spans="2:18">
      <c r="B4" s="568" t="s">
        <v>252</v>
      </c>
      <c r="C4" s="566" t="s">
        <v>245</v>
      </c>
      <c r="D4" s="567"/>
      <c r="E4" s="568" t="s">
        <v>246</v>
      </c>
      <c r="F4" s="568" t="s">
        <v>247</v>
      </c>
      <c r="G4" s="563"/>
      <c r="H4" s="569" t="s">
        <v>248</v>
      </c>
      <c r="I4" s="570"/>
      <c r="J4" s="569" t="s">
        <v>249</v>
      </c>
      <c r="K4" s="570"/>
      <c r="L4" s="569" t="s">
        <v>250</v>
      </c>
      <c r="M4" s="570"/>
      <c r="O4" s="549"/>
      <c r="P4" s="549"/>
      <c r="Q4" s="549"/>
      <c r="R4" s="549"/>
    </row>
    <row r="5" spans="2:18" ht="51.75" customHeight="1">
      <c r="B5" s="565"/>
      <c r="C5" s="457" t="s">
        <v>243</v>
      </c>
      <c r="D5" s="574" t="s">
        <v>244</v>
      </c>
      <c r="E5" s="562" t="s">
        <v>272</v>
      </c>
      <c r="F5" s="562" t="s">
        <v>262</v>
      </c>
      <c r="G5" s="562" t="s">
        <v>279</v>
      </c>
      <c r="H5" s="457" t="s">
        <v>280</v>
      </c>
      <c r="I5" s="574" t="s">
        <v>251</v>
      </c>
      <c r="J5" s="457" t="s">
        <v>282</v>
      </c>
      <c r="K5" s="574" t="s">
        <v>251</v>
      </c>
      <c r="L5" s="457" t="s">
        <v>281</v>
      </c>
      <c r="M5" s="574" t="s">
        <v>251</v>
      </c>
      <c r="O5" s="550"/>
      <c r="P5" s="550"/>
      <c r="Q5" s="550"/>
      <c r="R5" s="550"/>
    </row>
    <row r="6" spans="2:18" ht="16.5" customHeight="1" thickBot="1">
      <c r="B6" s="579"/>
      <c r="C6" s="580"/>
      <c r="D6" s="581"/>
      <c r="E6" s="576"/>
      <c r="F6" s="576"/>
      <c r="G6" s="564" t="s">
        <v>47</v>
      </c>
      <c r="H6" s="575" t="s">
        <v>47</v>
      </c>
      <c r="I6" s="582"/>
      <c r="J6" s="575" t="s">
        <v>47</v>
      </c>
      <c r="K6" s="582"/>
      <c r="L6" s="575" t="s">
        <v>47</v>
      </c>
      <c r="M6" s="582"/>
      <c r="O6" s="550"/>
      <c r="P6" s="550"/>
      <c r="Q6" s="550"/>
      <c r="R6" s="550"/>
    </row>
    <row r="7" spans="2:18">
      <c r="B7" s="583">
        <v>2008</v>
      </c>
      <c r="C7" s="577">
        <v>1</v>
      </c>
      <c r="D7" s="584" t="str">
        <f>IF(ISERROR(C7/(G7/1000)),"-",(C7/(G7/1000)))</f>
        <v>-</v>
      </c>
      <c r="E7" s="588">
        <v>6</v>
      </c>
      <c r="F7" s="588"/>
      <c r="G7" s="594"/>
      <c r="H7" s="571">
        <v>0</v>
      </c>
      <c r="I7" s="591" t="str">
        <f>IF(ISERROR(H7/$G7),"-",(H7/$G7))</f>
        <v>-</v>
      </c>
      <c r="J7" s="619">
        <f>G7-H7-L7</f>
        <v>0</v>
      </c>
      <c r="K7" s="591" t="str">
        <f>IF(ISERROR(J7/$G7),"-",(J7/$G7))</f>
        <v>-</v>
      </c>
      <c r="L7" s="571">
        <v>0</v>
      </c>
      <c r="M7" s="591" t="str">
        <f>IF(ISERROR(L7/$G7),"-",(L7/$G7))</f>
        <v>-</v>
      </c>
      <c r="O7" s="550"/>
      <c r="P7" s="550"/>
      <c r="Q7" s="550"/>
      <c r="R7" s="550"/>
    </row>
    <row r="8" spans="2:18">
      <c r="B8" s="553">
        <f>B7+1</f>
        <v>2009</v>
      </c>
      <c r="C8" s="586">
        <v>1</v>
      </c>
      <c r="D8" s="578" t="str">
        <f t="shared" ref="D8:D14" si="0">IF(ISERROR(C8/(G8/1000)),"-",(C8/(G8/1000)))</f>
        <v>-</v>
      </c>
      <c r="E8" s="589">
        <v>3</v>
      </c>
      <c r="F8" s="589"/>
      <c r="G8" s="595"/>
      <c r="H8" s="572">
        <v>0</v>
      </c>
      <c r="I8" s="592" t="str">
        <f t="shared" ref="I8:I14" si="1">IF(ISERROR(H8/$G8),"-",(H8/$G8))</f>
        <v>-</v>
      </c>
      <c r="J8" s="620">
        <f>G8-H8-L8</f>
        <v>0</v>
      </c>
      <c r="K8" s="592" t="str">
        <f t="shared" ref="K8:K14" si="2">IF(ISERROR(J8/$G8),"-",(J8/$G8))</f>
        <v>-</v>
      </c>
      <c r="L8" s="572">
        <v>0</v>
      </c>
      <c r="M8" s="592" t="str">
        <f t="shared" ref="M8:M14" si="3">IF(ISERROR(L8/$G8),"-",(L8/$G8))</f>
        <v>-</v>
      </c>
      <c r="O8" s="550"/>
      <c r="P8" s="550"/>
      <c r="Q8" s="550"/>
      <c r="R8" s="550"/>
    </row>
    <row r="9" spans="2:18">
      <c r="B9" s="553">
        <f t="shared" ref="B9:B14" si="4">B8+1</f>
        <v>2010</v>
      </c>
      <c r="C9" s="586">
        <v>1</v>
      </c>
      <c r="D9" s="578">
        <f t="shared" si="0"/>
        <v>377.91323867866413</v>
      </c>
      <c r="E9" s="589">
        <f>'D1'!D47</f>
        <v>5</v>
      </c>
      <c r="F9" s="589">
        <f>'D1'!J47</f>
        <v>1120</v>
      </c>
      <c r="G9" s="595">
        <f>('[1]Expenditure Details '!$AM$208+'[1]Expenditure Details '!$AM$213)/1000</f>
        <v>2.6461100000000002</v>
      </c>
      <c r="H9" s="572">
        <v>0</v>
      </c>
      <c r="I9" s="592">
        <f t="shared" si="1"/>
        <v>0</v>
      </c>
      <c r="J9" s="620">
        <f t="shared" ref="J9:J14" si="5">G9-H9-L9</f>
        <v>2.6461100000000002</v>
      </c>
      <c r="K9" s="592">
        <f t="shared" si="2"/>
        <v>1</v>
      </c>
      <c r="L9" s="572">
        <v>0</v>
      </c>
      <c r="M9" s="592">
        <f t="shared" si="3"/>
        <v>0</v>
      </c>
      <c r="O9" s="550"/>
      <c r="P9" s="550"/>
      <c r="Q9" s="550"/>
      <c r="R9" s="550"/>
    </row>
    <row r="10" spans="2:18">
      <c r="B10" s="553">
        <f t="shared" si="4"/>
        <v>2011</v>
      </c>
      <c r="C10" s="586"/>
      <c r="D10" s="578" t="str">
        <f t="shared" si="0"/>
        <v>-</v>
      </c>
      <c r="E10" s="589"/>
      <c r="F10" s="589"/>
      <c r="G10" s="595"/>
      <c r="H10" s="572"/>
      <c r="I10" s="592" t="str">
        <f t="shared" si="1"/>
        <v>-</v>
      </c>
      <c r="J10" s="620">
        <f t="shared" si="5"/>
        <v>0</v>
      </c>
      <c r="K10" s="592" t="str">
        <f t="shared" si="2"/>
        <v>-</v>
      </c>
      <c r="L10" s="572"/>
      <c r="M10" s="592" t="str">
        <f t="shared" si="3"/>
        <v>-</v>
      </c>
      <c r="O10" s="550"/>
      <c r="P10" s="550"/>
      <c r="Q10" s="550"/>
      <c r="R10" s="550"/>
    </row>
    <row r="11" spans="2:18">
      <c r="B11" s="553">
        <f t="shared" si="4"/>
        <v>2012</v>
      </c>
      <c r="C11" s="586"/>
      <c r="D11" s="578" t="str">
        <f t="shared" si="0"/>
        <v>-</v>
      </c>
      <c r="E11" s="589"/>
      <c r="F11" s="589"/>
      <c r="G11" s="595"/>
      <c r="H11" s="572"/>
      <c r="I11" s="592" t="str">
        <f t="shared" si="1"/>
        <v>-</v>
      </c>
      <c r="J11" s="620">
        <f t="shared" si="5"/>
        <v>0</v>
      </c>
      <c r="K11" s="592" t="str">
        <f t="shared" si="2"/>
        <v>-</v>
      </c>
      <c r="L11" s="572"/>
      <c r="M11" s="592" t="str">
        <f t="shared" si="3"/>
        <v>-</v>
      </c>
      <c r="O11" s="550"/>
      <c r="P11" s="550"/>
      <c r="Q11" s="550"/>
      <c r="R11" s="550"/>
    </row>
    <row r="12" spans="2:18">
      <c r="B12" s="553">
        <f t="shared" si="4"/>
        <v>2013</v>
      </c>
      <c r="C12" s="586"/>
      <c r="D12" s="578" t="str">
        <f t="shared" si="0"/>
        <v>-</v>
      </c>
      <c r="E12" s="589"/>
      <c r="F12" s="589"/>
      <c r="G12" s="595"/>
      <c r="H12" s="572"/>
      <c r="I12" s="592" t="str">
        <f t="shared" si="1"/>
        <v>-</v>
      </c>
      <c r="J12" s="620">
        <f t="shared" si="5"/>
        <v>0</v>
      </c>
      <c r="K12" s="592" t="str">
        <f t="shared" si="2"/>
        <v>-</v>
      </c>
      <c r="L12" s="572"/>
      <c r="M12" s="592" t="str">
        <f t="shared" si="3"/>
        <v>-</v>
      </c>
      <c r="O12" s="550"/>
      <c r="P12" s="550"/>
      <c r="Q12" s="550"/>
      <c r="R12" s="550"/>
    </row>
    <row r="13" spans="2:18">
      <c r="B13" s="553">
        <f t="shared" si="4"/>
        <v>2014</v>
      </c>
      <c r="C13" s="586"/>
      <c r="D13" s="578" t="str">
        <f t="shared" si="0"/>
        <v>-</v>
      </c>
      <c r="E13" s="589"/>
      <c r="F13" s="589"/>
      <c r="G13" s="595"/>
      <c r="H13" s="572"/>
      <c r="I13" s="592" t="str">
        <f t="shared" si="1"/>
        <v>-</v>
      </c>
      <c r="J13" s="620">
        <f t="shared" si="5"/>
        <v>0</v>
      </c>
      <c r="K13" s="592" t="str">
        <f t="shared" si="2"/>
        <v>-</v>
      </c>
      <c r="L13" s="572"/>
      <c r="M13" s="592" t="str">
        <f t="shared" si="3"/>
        <v>-</v>
      </c>
      <c r="O13" s="550"/>
      <c r="P13" s="550"/>
      <c r="Q13" s="550"/>
      <c r="R13" s="550"/>
    </row>
    <row r="14" spans="2:18" ht="13.5" thickBot="1">
      <c r="B14" s="554">
        <f t="shared" si="4"/>
        <v>2015</v>
      </c>
      <c r="C14" s="587"/>
      <c r="D14" s="585" t="str">
        <f t="shared" si="0"/>
        <v>-</v>
      </c>
      <c r="E14" s="590"/>
      <c r="F14" s="590"/>
      <c r="G14" s="596"/>
      <c r="H14" s="573"/>
      <c r="I14" s="593" t="str">
        <f t="shared" si="1"/>
        <v>-</v>
      </c>
      <c r="J14" s="621">
        <f t="shared" si="5"/>
        <v>0</v>
      </c>
      <c r="K14" s="593" t="str">
        <f t="shared" si="2"/>
        <v>-</v>
      </c>
      <c r="L14" s="573"/>
      <c r="M14" s="593" t="str">
        <f t="shared" si="3"/>
        <v>-</v>
      </c>
      <c r="O14" s="550"/>
      <c r="P14" s="550"/>
      <c r="Q14" s="550"/>
      <c r="R14" s="550"/>
    </row>
    <row r="15" spans="2:18">
      <c r="B15" s="551"/>
      <c r="C15" s="267"/>
      <c r="D15" s="380"/>
      <c r="E15" s="267"/>
      <c r="F15" s="267"/>
      <c r="G15" s="267"/>
      <c r="H15" s="267"/>
      <c r="I15" s="267"/>
      <c r="J15" s="267"/>
      <c r="K15" s="267"/>
      <c r="L15" s="267"/>
      <c r="M15" s="552"/>
      <c r="O15" s="549"/>
      <c r="P15" s="549"/>
      <c r="Q15" s="549"/>
      <c r="R15" s="549"/>
    </row>
    <row r="16" spans="2:18">
      <c r="B16" s="648" t="s">
        <v>290</v>
      </c>
      <c r="C16" s="267"/>
      <c r="D16" s="380"/>
      <c r="E16" s="267"/>
      <c r="F16" s="267"/>
      <c r="G16" s="267"/>
      <c r="H16" s="267"/>
      <c r="I16" s="267"/>
      <c r="J16" s="267"/>
      <c r="K16" s="267"/>
      <c r="L16" s="267"/>
      <c r="M16" s="552"/>
      <c r="O16" s="549"/>
      <c r="P16" s="549"/>
      <c r="Q16" s="549"/>
      <c r="R16" s="549"/>
    </row>
    <row r="17" spans="2:18" ht="13.5" thickBot="1">
      <c r="B17" s="649" t="s">
        <v>292</v>
      </c>
      <c r="C17" s="555"/>
      <c r="D17" s="555"/>
      <c r="E17" s="555"/>
      <c r="F17" s="555"/>
      <c r="G17" s="555"/>
      <c r="H17" s="555"/>
      <c r="I17" s="555"/>
      <c r="J17" s="555"/>
      <c r="K17" s="555"/>
      <c r="L17" s="555"/>
      <c r="M17" s="556"/>
      <c r="N17" s="549"/>
      <c r="O17" s="549"/>
      <c r="P17" s="549"/>
      <c r="Q17" s="549"/>
      <c r="R17" s="549"/>
    </row>
    <row r="18" spans="2:18">
      <c r="B18" s="236"/>
      <c r="C18" s="267"/>
      <c r="D18" s="267"/>
      <c r="E18" s="267"/>
      <c r="F18" s="267"/>
      <c r="G18" s="267"/>
      <c r="H18" s="267"/>
      <c r="I18" s="267"/>
      <c r="J18" s="267"/>
      <c r="K18" s="267"/>
      <c r="L18" s="267"/>
      <c r="M18" s="267"/>
      <c r="N18" s="549"/>
      <c r="O18" s="549"/>
      <c r="P18" s="549"/>
      <c r="Q18" s="549"/>
      <c r="R18" s="549"/>
    </row>
    <row r="19" spans="2:18" ht="13.5" thickBot="1">
      <c r="B19" s="623"/>
      <c r="C19" s="624"/>
      <c r="D19" s="624"/>
      <c r="E19" s="624"/>
      <c r="F19" s="624"/>
    </row>
    <row r="20" spans="2:18" ht="13.5" thickBot="1">
      <c r="B20" s="625"/>
      <c r="C20" s="626"/>
      <c r="D20" s="598" t="s">
        <v>283</v>
      </c>
      <c r="E20" s="599"/>
      <c r="F20" s="600"/>
      <c r="G20" s="600"/>
      <c r="H20" s="600"/>
      <c r="I20" s="601"/>
      <c r="J20" s="632"/>
    </row>
    <row r="21" spans="2:18" ht="26.25" thickBot="1">
      <c r="B21" s="625"/>
      <c r="C21" s="103"/>
      <c r="D21" s="597" t="s">
        <v>252</v>
      </c>
      <c r="E21" s="948" t="s">
        <v>284</v>
      </c>
      <c r="F21" s="949"/>
      <c r="G21" s="949"/>
      <c r="H21" s="949"/>
      <c r="I21" s="950"/>
      <c r="J21" s="633" t="s">
        <v>285</v>
      </c>
    </row>
    <row r="22" spans="2:18" ht="12.75" customHeight="1">
      <c r="B22" s="627"/>
      <c r="C22" s="628"/>
      <c r="D22" s="634">
        <v>1</v>
      </c>
      <c r="E22" s="951" t="s">
        <v>253</v>
      </c>
      <c r="F22" s="952"/>
      <c r="G22" s="952"/>
      <c r="H22" s="952"/>
      <c r="I22" s="953"/>
      <c r="J22" s="637" t="s">
        <v>286</v>
      </c>
    </row>
    <row r="23" spans="2:18" ht="12.75" customHeight="1">
      <c r="B23" s="627"/>
      <c r="C23" s="628"/>
      <c r="D23" s="635">
        <v>2</v>
      </c>
      <c r="E23" s="954" t="s">
        <v>254</v>
      </c>
      <c r="F23" s="955"/>
      <c r="G23" s="955"/>
      <c r="H23" s="955"/>
      <c r="I23" s="956"/>
      <c r="J23" s="638" t="s">
        <v>286</v>
      </c>
    </row>
    <row r="24" spans="2:18" ht="12.75" customHeight="1">
      <c r="B24" s="627"/>
      <c r="C24" s="628"/>
      <c r="D24" s="635">
        <v>3</v>
      </c>
      <c r="E24" s="954" t="s">
        <v>255</v>
      </c>
      <c r="F24" s="955"/>
      <c r="G24" s="955"/>
      <c r="H24" s="955"/>
      <c r="I24" s="956"/>
      <c r="J24" s="638" t="s">
        <v>286</v>
      </c>
    </row>
    <row r="25" spans="2:18" ht="27" customHeight="1">
      <c r="B25" s="627"/>
      <c r="C25" s="628"/>
      <c r="D25" s="635">
        <v>4</v>
      </c>
      <c r="E25" s="954" t="s">
        <v>256</v>
      </c>
      <c r="F25" s="955"/>
      <c r="G25" s="955"/>
      <c r="H25" s="955"/>
      <c r="I25" s="956"/>
      <c r="J25" s="638" t="s">
        <v>287</v>
      </c>
    </row>
    <row r="26" spans="2:18" ht="12.75" customHeight="1">
      <c r="B26" s="627"/>
      <c r="C26" s="628"/>
      <c r="D26" s="635">
        <v>5</v>
      </c>
      <c r="E26" s="954" t="s">
        <v>257</v>
      </c>
      <c r="F26" s="955"/>
      <c r="G26" s="955"/>
      <c r="H26" s="955"/>
      <c r="I26" s="956"/>
      <c r="J26" s="638" t="s">
        <v>54</v>
      </c>
    </row>
    <row r="27" spans="2:18" ht="40.5" customHeight="1">
      <c r="B27" s="627"/>
      <c r="C27" s="628"/>
      <c r="D27" s="635">
        <v>6</v>
      </c>
      <c r="E27" s="954" t="s">
        <v>258</v>
      </c>
      <c r="F27" s="955"/>
      <c r="G27" s="955"/>
      <c r="H27" s="955"/>
      <c r="I27" s="956"/>
      <c r="J27" s="638" t="s">
        <v>289</v>
      </c>
    </row>
    <row r="28" spans="2:18" ht="24.75" customHeight="1">
      <c r="B28" s="627"/>
      <c r="C28" s="628"/>
      <c r="D28" s="635">
        <v>7</v>
      </c>
      <c r="E28" s="954" t="s">
        <v>274</v>
      </c>
      <c r="F28" s="955"/>
      <c r="G28" s="955"/>
      <c r="H28" s="955"/>
      <c r="I28" s="956"/>
      <c r="J28" s="638" t="s">
        <v>288</v>
      </c>
    </row>
    <row r="29" spans="2:18" ht="26.25" customHeight="1" thickBot="1">
      <c r="B29" s="627"/>
      <c r="C29" s="628"/>
      <c r="D29" s="636">
        <v>8</v>
      </c>
      <c r="E29" s="945" t="s">
        <v>259</v>
      </c>
      <c r="F29" s="946"/>
      <c r="G29" s="946"/>
      <c r="H29" s="946"/>
      <c r="I29" s="947"/>
      <c r="J29" s="639" t="s">
        <v>288</v>
      </c>
    </row>
    <row r="30" spans="2:18">
      <c r="B30" s="629"/>
      <c r="C30" s="381"/>
      <c r="D30" s="381"/>
      <c r="E30" s="381"/>
      <c r="F30" s="381"/>
      <c r="I30" s="381"/>
    </row>
    <row r="31" spans="2:18" ht="27.75" customHeight="1">
      <c r="B31" s="630"/>
      <c r="C31" s="631"/>
      <c r="D31" s="631"/>
      <c r="E31" s="631"/>
      <c r="F31" s="631"/>
    </row>
  </sheetData>
  <mergeCells count="9">
    <mergeCell ref="E29:I29"/>
    <mergeCell ref="E21:I21"/>
    <mergeCell ref="E22:I22"/>
    <mergeCell ref="E23:I23"/>
    <mergeCell ref="E24:I24"/>
    <mergeCell ref="E25:I25"/>
    <mergeCell ref="E26:I26"/>
    <mergeCell ref="E27:I27"/>
    <mergeCell ref="E28:I28"/>
  </mergeCells>
  <phoneticPr fontId="3" type="noConversion"/>
  <printOptions horizontalCentered="1" verticalCentered="1"/>
  <pageMargins left="0" right="0" top="0.25" bottom="0.75" header="0.3" footer="0.3"/>
  <pageSetup orientation="landscape" r:id="rId1"/>
  <headerFooter alignWithMargins="0">
    <oddFooter>&amp;L&amp;8&amp;A&amp;C&amp;8&amp;P of &amp;N&amp;R&amp;D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22"/>
    <pageSetUpPr fitToPage="1"/>
  </sheetPr>
  <dimension ref="B1:S36"/>
  <sheetViews>
    <sheetView workbookViewId="0">
      <selection activeCell="Q7" sqref="Q7"/>
    </sheetView>
  </sheetViews>
  <sheetFormatPr defaultRowHeight="12.75"/>
  <cols>
    <col min="1" max="1" width="1.7109375" style="13" customWidth="1"/>
    <col min="2" max="2" width="25.7109375" style="13" customWidth="1"/>
    <col min="3" max="3" width="12.7109375" style="13" customWidth="1"/>
    <col min="4" max="4" width="1.7109375" style="13" customWidth="1"/>
    <col min="5" max="5" width="9.5703125" style="13" customWidth="1"/>
    <col min="6" max="6" width="9.42578125" style="13" customWidth="1"/>
    <col min="7" max="7" width="1.7109375" style="13" customWidth="1"/>
    <col min="8" max="9" width="9.5703125" style="13" customWidth="1"/>
    <col min="10" max="10" width="1.7109375" style="13" customWidth="1"/>
    <col min="11" max="12" width="9.28515625" style="13" bestFit="1" customWidth="1"/>
    <col min="13" max="13" width="1.7109375" style="13" customWidth="1"/>
    <col min="14" max="14" width="9.42578125" style="13" bestFit="1" customWidth="1"/>
    <col min="15" max="15" width="9.85546875" style="13" bestFit="1" customWidth="1"/>
    <col min="16" max="16" width="4" style="13" customWidth="1"/>
    <col min="17" max="17" width="3.7109375" style="13" customWidth="1"/>
    <col min="18" max="19" width="9.140625" style="13" hidden="1" customWidth="1"/>
    <col min="20" max="16384" width="9.140625" style="13"/>
  </cols>
  <sheetData>
    <row r="1" spans="2:19" ht="5.0999999999999996" customHeight="1"/>
    <row r="2" spans="2:19" ht="23.25">
      <c r="B2" s="966" t="str">
        <f>'A1'!C4</f>
        <v>Oklahoma Gas &amp; Electric Company</v>
      </c>
      <c r="C2" s="967"/>
      <c r="D2" s="967"/>
      <c r="E2" s="967"/>
      <c r="F2" s="967"/>
      <c r="G2" s="967"/>
      <c r="H2" s="967"/>
      <c r="I2" s="967"/>
      <c r="J2" s="967"/>
      <c r="K2" s="967"/>
      <c r="L2" s="967"/>
      <c r="M2" s="967"/>
      <c r="N2" s="967"/>
      <c r="O2" s="968"/>
    </row>
    <row r="3" spans="2:19" ht="23.25">
      <c r="B3" s="969" t="str">
        <f>'A1'!C5</f>
        <v>07-075-TF</v>
      </c>
      <c r="C3" s="889"/>
      <c r="D3" s="889"/>
      <c r="E3" s="889"/>
      <c r="F3" s="889"/>
      <c r="G3" s="889"/>
      <c r="H3" s="889"/>
      <c r="I3" s="889"/>
      <c r="J3" s="889"/>
      <c r="K3" s="889"/>
      <c r="L3" s="889"/>
      <c r="M3" s="889"/>
      <c r="N3" s="889"/>
      <c r="O3" s="970"/>
    </row>
    <row r="4" spans="2:19" ht="23.25">
      <c r="B4" s="808" t="s">
        <v>239</v>
      </c>
      <c r="C4" s="809"/>
      <c r="D4" s="809"/>
      <c r="E4" s="809"/>
      <c r="F4" s="809"/>
      <c r="G4" s="809"/>
      <c r="H4" s="809"/>
      <c r="I4" s="809"/>
      <c r="J4" s="809"/>
      <c r="K4" s="809"/>
      <c r="L4" s="809"/>
      <c r="M4" s="809"/>
      <c r="N4" s="809"/>
      <c r="O4" s="810"/>
    </row>
    <row r="5" spans="2:19" ht="13.5" thickBot="1">
      <c r="B5" s="9"/>
      <c r="C5" s="9"/>
      <c r="D5" s="9"/>
      <c r="E5" s="9"/>
      <c r="F5" s="9"/>
      <c r="G5" s="9"/>
      <c r="H5" s="9"/>
      <c r="I5" s="9"/>
      <c r="J5" s="9"/>
    </row>
    <row r="6" spans="2:19" ht="13.5" thickBot="1">
      <c r="B6" s="2"/>
      <c r="C6" s="2"/>
      <c r="D6" s="4"/>
      <c r="E6" s="738" t="s">
        <v>154</v>
      </c>
      <c r="F6" s="740"/>
      <c r="G6" s="9"/>
      <c r="H6" s="738" t="s">
        <v>155</v>
      </c>
      <c r="I6" s="740"/>
      <c r="J6" s="9"/>
      <c r="K6" s="738" t="s">
        <v>156</v>
      </c>
      <c r="L6" s="740"/>
      <c r="N6" s="738" t="s">
        <v>157</v>
      </c>
      <c r="O6" s="740"/>
    </row>
    <row r="7" spans="2:19">
      <c r="B7" s="106" t="s">
        <v>26</v>
      </c>
      <c r="C7" s="106" t="s">
        <v>26</v>
      </c>
      <c r="D7" s="4"/>
      <c r="E7" s="59" t="s">
        <v>12</v>
      </c>
      <c r="F7" s="107" t="s">
        <v>24</v>
      </c>
      <c r="G7" s="9"/>
      <c r="H7" s="59" t="s">
        <v>12</v>
      </c>
      <c r="I7" s="107" t="s">
        <v>24</v>
      </c>
      <c r="J7" s="9"/>
      <c r="K7" s="59" t="s">
        <v>12</v>
      </c>
      <c r="L7" s="107" t="s">
        <v>24</v>
      </c>
      <c r="N7" s="59" t="s">
        <v>12</v>
      </c>
      <c r="O7" s="107" t="s">
        <v>24</v>
      </c>
    </row>
    <row r="8" spans="2:19" ht="13.5" thickBot="1">
      <c r="B8" s="8" t="s">
        <v>74</v>
      </c>
      <c r="C8" s="8" t="s">
        <v>73</v>
      </c>
      <c r="D8" s="4"/>
      <c r="E8" s="280" t="s">
        <v>195</v>
      </c>
      <c r="F8" s="281" t="s">
        <v>195</v>
      </c>
      <c r="G8" s="9"/>
      <c r="H8" s="280" t="s">
        <v>195</v>
      </c>
      <c r="I8" s="281" t="s">
        <v>195</v>
      </c>
      <c r="J8" s="9"/>
      <c r="K8" s="280" t="s">
        <v>195</v>
      </c>
      <c r="L8" s="281" t="s">
        <v>195</v>
      </c>
      <c r="N8" s="280" t="s">
        <v>195</v>
      </c>
      <c r="O8" s="281" t="s">
        <v>195</v>
      </c>
      <c r="R8" s="48"/>
    </row>
    <row r="9" spans="2:19">
      <c r="B9" s="5" t="str">
        <f ca="1">'A2'!A9</f>
        <v>Weatherization</v>
      </c>
      <c r="C9" s="106">
        <f ca="1">INDIRECT("'"&amp;"A1"&amp;"'"&amp;"!"&amp;"C"&amp;D9+3)</f>
        <v>1</v>
      </c>
      <c r="D9" s="229">
        <v>36</v>
      </c>
      <c r="E9" s="90">
        <f ca="1">'A2'!H9</f>
        <v>1129500</v>
      </c>
      <c r="F9" s="91">
        <f ca="1">'A2'!I9</f>
        <v>1103808.42</v>
      </c>
      <c r="G9" s="47"/>
      <c r="H9" s="329">
        <f ca="1">E9*R9</f>
        <v>91450.071131908931</v>
      </c>
      <c r="I9" s="330">
        <f>'[15]Expenditure Summary'!$Z$18</f>
        <v>89369.95</v>
      </c>
      <c r="J9" s="47"/>
      <c r="K9" s="329">
        <f ca="1">E9*S9</f>
        <v>1038049.9288680912</v>
      </c>
      <c r="L9" s="330">
        <f ca="1">'[15]Expenditure Summary'!$AA$18-F16</f>
        <v>1014438.4700000001</v>
      </c>
      <c r="N9" s="90">
        <f ca="1">E9-H9-K9</f>
        <v>0</v>
      </c>
      <c r="O9" s="91">
        <f ca="1">F9-I9-L9</f>
        <v>0</v>
      </c>
      <c r="R9" s="713">
        <f ca="1">I9/F9</f>
        <v>8.0965091750251378E-2</v>
      </c>
      <c r="S9" s="714">
        <f ca="1">L9/F9</f>
        <v>0.91903490824974876</v>
      </c>
    </row>
    <row r="10" spans="2:19">
      <c r="B10" s="5" t="str">
        <f ca="1">'A2'!A10</f>
        <v>Living Wise</v>
      </c>
      <c r="C10" s="106">
        <f t="shared" ref="C10:C23" ca="1" si="0">INDIRECT("'"&amp;"A1"&amp;"'"&amp;"!"&amp;"C"&amp;D10+3)</f>
        <v>2</v>
      </c>
      <c r="D10" s="229">
        <f>30+D9</f>
        <v>66</v>
      </c>
      <c r="E10" s="90">
        <f ca="1">'A2'!H10</f>
        <v>61000</v>
      </c>
      <c r="F10" s="91">
        <f ca="1">'A2'!I10</f>
        <v>49404.77</v>
      </c>
      <c r="G10" s="47"/>
      <c r="H10" s="329">
        <f t="shared" ref="H10:H16" ca="1" si="1">E10*R10</f>
        <v>1976.3079556892992</v>
      </c>
      <c r="I10" s="330">
        <f>'[15]Expenditure Summary'!$Z$19</f>
        <v>1600.64</v>
      </c>
      <c r="J10" s="47"/>
      <c r="K10" s="329">
        <f t="shared" ref="K10:K16" ca="1" si="2">E10*S10</f>
        <v>59023.692044310701</v>
      </c>
      <c r="L10" s="330">
        <f>'[15]Expenditure Summary'!$AA$19</f>
        <v>47804.13</v>
      </c>
      <c r="N10" s="90">
        <f t="shared" ref="N10:N25" ca="1" si="3">E10-H10-K10</f>
        <v>0</v>
      </c>
      <c r="O10" s="91">
        <f t="shared" ref="O10:O25" ca="1" si="4">F10-I10-L10</f>
        <v>0</v>
      </c>
      <c r="R10" s="713">
        <f t="shared" ref="R10:R16" ca="1" si="5">I10/F10</f>
        <v>3.2398491076873759E-2</v>
      </c>
      <c r="S10" s="714">
        <f t="shared" ref="S10:S16" ca="1" si="6">L10/F10</f>
        <v>0.96760150892312624</v>
      </c>
    </row>
    <row r="11" spans="2:19">
      <c r="B11" s="5" t="str">
        <f ca="1">'A2'!A11</f>
        <v>CER</v>
      </c>
      <c r="C11" s="106">
        <f t="shared" ca="1" si="0"/>
        <v>3</v>
      </c>
      <c r="D11" s="229">
        <f t="shared" ref="D11:D24" si="7">30+D10</f>
        <v>96</v>
      </c>
      <c r="E11" s="90">
        <f ca="1">'A2'!H11</f>
        <v>7000</v>
      </c>
      <c r="F11" s="91">
        <f ca="1">'A2'!I11</f>
        <v>60.87</v>
      </c>
      <c r="G11" s="47"/>
      <c r="H11" s="329">
        <f t="shared" ca="1" si="1"/>
        <v>7000</v>
      </c>
      <c r="I11" s="330">
        <f>'[15]Expenditure Summary'!$Z$20</f>
        <v>60.87</v>
      </c>
      <c r="J11" s="47"/>
      <c r="K11" s="329">
        <f t="shared" ca="1" si="2"/>
        <v>0</v>
      </c>
      <c r="L11" s="330">
        <f>'[15]Expenditure Summary'!$AA$20</f>
        <v>0</v>
      </c>
      <c r="N11" s="90">
        <f t="shared" ca="1" si="3"/>
        <v>0</v>
      </c>
      <c r="O11" s="91">
        <f t="shared" ca="1" si="4"/>
        <v>0</v>
      </c>
      <c r="R11" s="713">
        <v>1</v>
      </c>
      <c r="S11" s="714">
        <f t="shared" ca="1" si="6"/>
        <v>0</v>
      </c>
    </row>
    <row r="12" spans="2:19">
      <c r="B12" s="5" t="str">
        <f ca="1">'A2'!A12</f>
        <v>Commercial Lighting</v>
      </c>
      <c r="C12" s="106">
        <f t="shared" ca="1" si="0"/>
        <v>4</v>
      </c>
      <c r="D12" s="229">
        <f t="shared" si="7"/>
        <v>126</v>
      </c>
      <c r="E12" s="90">
        <f ca="1">'A2'!H12</f>
        <v>55440</v>
      </c>
      <c r="F12" s="91">
        <f ca="1">'A2'!I12</f>
        <v>38104.33</v>
      </c>
      <c r="G12" s="47"/>
      <c r="H12" s="329">
        <f t="shared" ca="1" si="1"/>
        <v>12927.633536661056</v>
      </c>
      <c r="I12" s="330">
        <f>'[15]Expenditure Summary'!$Z$21</f>
        <v>8885.26</v>
      </c>
      <c r="J12" s="47"/>
      <c r="K12" s="329">
        <f t="shared" ca="1" si="2"/>
        <v>42512.366463338942</v>
      </c>
      <c r="L12" s="330">
        <f>'[15]Expenditure Summary'!$AA$21</f>
        <v>29219.07</v>
      </c>
      <c r="N12" s="90">
        <f t="shared" ca="1" si="3"/>
        <v>0</v>
      </c>
      <c r="O12" s="91">
        <f t="shared" ca="1" si="4"/>
        <v>0</v>
      </c>
      <c r="R12" s="713">
        <f t="shared" ca="1" si="5"/>
        <v>0.23318242309994691</v>
      </c>
      <c r="S12" s="714">
        <f t="shared" ca="1" si="6"/>
        <v>0.76681757690005303</v>
      </c>
    </row>
    <row r="13" spans="2:19">
      <c r="B13" s="5" t="str">
        <f ca="1">'A2'!A13</f>
        <v>Commercial Motors</v>
      </c>
      <c r="C13" s="106">
        <f t="shared" ca="1" si="0"/>
        <v>5</v>
      </c>
      <c r="D13" s="229">
        <f t="shared" si="7"/>
        <v>156</v>
      </c>
      <c r="E13" s="90">
        <f ca="1">'A2'!H13</f>
        <v>7500</v>
      </c>
      <c r="F13" s="91">
        <f ca="1">'A2'!I13</f>
        <v>11243.93</v>
      </c>
      <c r="G13" s="47"/>
      <c r="H13" s="329">
        <f t="shared" ca="1" si="1"/>
        <v>5838.8904057567061</v>
      </c>
      <c r="I13" s="330">
        <f>'[15]Expenditure Summary'!$Z$22</f>
        <v>8753.61</v>
      </c>
      <c r="J13" s="47"/>
      <c r="K13" s="329">
        <f t="shared" ca="1" si="2"/>
        <v>1661.1095942432942</v>
      </c>
      <c r="L13" s="330">
        <f>'[15]Expenditure Summary'!$AA$22</f>
        <v>2490.3200000000002</v>
      </c>
      <c r="N13" s="90">
        <f t="shared" ca="1" si="3"/>
        <v>0</v>
      </c>
      <c r="O13" s="91">
        <f t="shared" ca="1" si="4"/>
        <v>0</v>
      </c>
      <c r="R13" s="713">
        <f t="shared" ca="1" si="5"/>
        <v>0.77851872076756079</v>
      </c>
      <c r="S13" s="714">
        <f t="shared" ca="1" si="6"/>
        <v>0.22148127923243921</v>
      </c>
    </row>
    <row r="14" spans="2:19">
      <c r="B14" s="5" t="str">
        <f ca="1">'A2'!A14</f>
        <v xml:space="preserve">Energy Efficiency Arkansas (Collaborative) </v>
      </c>
      <c r="C14" s="106">
        <f t="shared" ca="1" si="0"/>
        <v>6</v>
      </c>
      <c r="D14" s="229">
        <f t="shared" si="7"/>
        <v>186</v>
      </c>
      <c r="E14" s="90">
        <f ca="1">'A2'!H14</f>
        <v>32045</v>
      </c>
      <c r="F14" s="91">
        <f ca="1">'A2'!I14</f>
        <v>30950.14</v>
      </c>
      <c r="G14" s="47"/>
      <c r="H14" s="329">
        <f t="shared" ca="1" si="1"/>
        <v>7395.0621224976685</v>
      </c>
      <c r="I14" s="330">
        <f>'[15]Expenditure Summary'!$Z$23</f>
        <v>7142.4</v>
      </c>
      <c r="J14" s="47"/>
      <c r="K14" s="329">
        <f t="shared" ca="1" si="2"/>
        <v>24649.937877502332</v>
      </c>
      <c r="L14" s="330">
        <f>'[15]Expenditure Summary'!$AA$23</f>
        <v>23807.74</v>
      </c>
      <c r="N14" s="90">
        <f t="shared" ca="1" si="3"/>
        <v>0</v>
      </c>
      <c r="O14" s="91">
        <f t="shared" ca="1" si="4"/>
        <v>0</v>
      </c>
      <c r="R14" s="713">
        <f t="shared" ca="1" si="5"/>
        <v>0.23077116937112399</v>
      </c>
      <c r="S14" s="714">
        <f t="shared" ca="1" si="6"/>
        <v>0.76922883062887604</v>
      </c>
    </row>
    <row r="15" spans="2:19">
      <c r="B15" s="5" t="str">
        <f ca="1">'A2'!A15</f>
        <v>CFL's (Quick Start ONLY)</v>
      </c>
      <c r="C15" s="106">
        <f t="shared" ca="1" si="0"/>
        <v>7</v>
      </c>
      <c r="D15" s="229">
        <f t="shared" si="7"/>
        <v>216</v>
      </c>
      <c r="E15" s="90">
        <f ca="1">'A2'!H15</f>
        <v>0</v>
      </c>
      <c r="F15" s="91">
        <f ca="1">'A2'!I15</f>
        <v>0</v>
      </c>
      <c r="G15" s="47"/>
      <c r="H15" s="329">
        <v>0</v>
      </c>
      <c r="I15" s="330">
        <v>0</v>
      </c>
      <c r="J15" s="47"/>
      <c r="K15" s="329">
        <v>0</v>
      </c>
      <c r="L15" s="330">
        <v>0</v>
      </c>
      <c r="N15" s="90">
        <f t="shared" ca="1" si="3"/>
        <v>0</v>
      </c>
      <c r="O15" s="91">
        <f t="shared" ca="1" si="4"/>
        <v>0</v>
      </c>
      <c r="R15" s="713"/>
      <c r="S15" s="714"/>
    </row>
    <row r="16" spans="2:19">
      <c r="B16" s="5" t="str">
        <f ca="1">'A2'!A16</f>
        <v xml:space="preserve">AWP Weatherization </v>
      </c>
      <c r="C16" s="106">
        <f t="shared" ca="1" si="0"/>
        <v>8</v>
      </c>
      <c r="D16" s="229">
        <f t="shared" si="7"/>
        <v>246</v>
      </c>
      <c r="E16" s="90">
        <f ca="1">'A2'!H16</f>
        <v>72000</v>
      </c>
      <c r="F16" s="91">
        <f ca="1">'A2'!I16</f>
        <v>44927.62</v>
      </c>
      <c r="G16" s="47"/>
      <c r="H16" s="329">
        <f t="shared" ca="1" si="1"/>
        <v>0</v>
      </c>
      <c r="I16" s="330">
        <v>0</v>
      </c>
      <c r="J16" s="47"/>
      <c r="K16" s="329">
        <f t="shared" ca="1" si="2"/>
        <v>72000</v>
      </c>
      <c r="L16" s="330">
        <f ca="1">F16</f>
        <v>44927.62</v>
      </c>
      <c r="N16" s="90">
        <f t="shared" ca="1" si="3"/>
        <v>0</v>
      </c>
      <c r="O16" s="91">
        <f t="shared" ca="1" si="4"/>
        <v>0</v>
      </c>
      <c r="R16" s="713">
        <f t="shared" ca="1" si="5"/>
        <v>0</v>
      </c>
      <c r="S16" s="714">
        <f t="shared" ca="1" si="6"/>
        <v>1</v>
      </c>
    </row>
    <row r="17" spans="2:15">
      <c r="B17" s="5" t="str">
        <f ca="1">'A2'!A17</f>
        <v>Program 9</v>
      </c>
      <c r="C17" s="106">
        <f t="shared" ca="1" si="0"/>
        <v>9</v>
      </c>
      <c r="D17" s="229">
        <f t="shared" si="7"/>
        <v>276</v>
      </c>
      <c r="E17" s="90">
        <f ca="1">'A2'!H17</f>
        <v>0</v>
      </c>
      <c r="F17" s="91">
        <f ca="1">'A2'!I17</f>
        <v>0</v>
      </c>
      <c r="G17" s="47"/>
      <c r="H17" s="329"/>
      <c r="I17" s="330"/>
      <c r="J17" s="47"/>
      <c r="K17" s="329"/>
      <c r="L17" s="330"/>
      <c r="N17" s="90">
        <f t="shared" ca="1" si="3"/>
        <v>0</v>
      </c>
      <c r="O17" s="91">
        <f t="shared" ca="1" si="4"/>
        <v>0</v>
      </c>
    </row>
    <row r="18" spans="2:15">
      <c r="B18" s="5" t="str">
        <f ca="1">'A2'!A18</f>
        <v>Program 10</v>
      </c>
      <c r="C18" s="106">
        <f t="shared" ca="1" si="0"/>
        <v>10</v>
      </c>
      <c r="D18" s="229">
        <f t="shared" si="7"/>
        <v>306</v>
      </c>
      <c r="E18" s="90">
        <f ca="1">'A2'!H18</f>
        <v>0</v>
      </c>
      <c r="F18" s="91">
        <f ca="1">'A2'!I18</f>
        <v>0</v>
      </c>
      <c r="G18" s="47"/>
      <c r="H18" s="329"/>
      <c r="I18" s="330"/>
      <c r="J18" s="47"/>
      <c r="K18" s="329"/>
      <c r="L18" s="330"/>
      <c r="N18" s="90">
        <f t="shared" ca="1" si="3"/>
        <v>0</v>
      </c>
      <c r="O18" s="91">
        <f t="shared" ca="1" si="4"/>
        <v>0</v>
      </c>
    </row>
    <row r="19" spans="2:15">
      <c r="B19" s="5" t="str">
        <f ca="1">'A2'!A19</f>
        <v>Program 11</v>
      </c>
      <c r="C19" s="106">
        <f t="shared" ca="1" si="0"/>
        <v>11</v>
      </c>
      <c r="D19" s="229">
        <f t="shared" si="7"/>
        <v>336</v>
      </c>
      <c r="E19" s="90">
        <f ca="1">'A2'!H19</f>
        <v>0</v>
      </c>
      <c r="F19" s="91">
        <f ca="1">'A2'!I19</f>
        <v>0</v>
      </c>
      <c r="G19" s="47"/>
      <c r="H19" s="329"/>
      <c r="I19" s="330"/>
      <c r="J19" s="47"/>
      <c r="K19" s="329"/>
      <c r="L19" s="330"/>
      <c r="N19" s="90">
        <f t="shared" ca="1" si="3"/>
        <v>0</v>
      </c>
      <c r="O19" s="91">
        <f t="shared" ca="1" si="4"/>
        <v>0</v>
      </c>
    </row>
    <row r="20" spans="2:15">
      <c r="B20" s="5" t="str">
        <f ca="1">'A2'!A20</f>
        <v>Program 12</v>
      </c>
      <c r="C20" s="106">
        <f t="shared" ca="1" si="0"/>
        <v>12</v>
      </c>
      <c r="D20" s="229">
        <f t="shared" si="7"/>
        <v>366</v>
      </c>
      <c r="E20" s="90">
        <f ca="1">'A2'!H20</f>
        <v>0</v>
      </c>
      <c r="F20" s="91">
        <f ca="1">'A2'!I20</f>
        <v>0</v>
      </c>
      <c r="G20" s="47"/>
      <c r="H20" s="329"/>
      <c r="I20" s="330"/>
      <c r="J20" s="47"/>
      <c r="K20" s="329"/>
      <c r="L20" s="330"/>
      <c r="N20" s="90">
        <f t="shared" ca="1" si="3"/>
        <v>0</v>
      </c>
      <c r="O20" s="91">
        <f t="shared" ca="1" si="4"/>
        <v>0</v>
      </c>
    </row>
    <row r="21" spans="2:15">
      <c r="B21" s="5" t="str">
        <f ca="1">'A2'!A21</f>
        <v>Program 13</v>
      </c>
      <c r="C21" s="106">
        <f t="shared" ca="1" si="0"/>
        <v>13</v>
      </c>
      <c r="D21" s="229">
        <f t="shared" si="7"/>
        <v>396</v>
      </c>
      <c r="E21" s="90">
        <f ca="1">'A2'!H21</f>
        <v>0</v>
      </c>
      <c r="F21" s="91">
        <f ca="1">'A2'!I21</f>
        <v>0</v>
      </c>
      <c r="G21" s="47"/>
      <c r="H21" s="329"/>
      <c r="I21" s="330"/>
      <c r="J21" s="47"/>
      <c r="K21" s="329"/>
      <c r="L21" s="330"/>
      <c r="N21" s="90">
        <f t="shared" ca="1" si="3"/>
        <v>0</v>
      </c>
      <c r="O21" s="91">
        <f t="shared" ca="1" si="4"/>
        <v>0</v>
      </c>
    </row>
    <row r="22" spans="2:15">
      <c r="B22" s="206" t="str">
        <f ca="1">'A2'!A22</f>
        <v>Program 14</v>
      </c>
      <c r="C22" s="106">
        <f t="shared" ca="1" si="0"/>
        <v>14</v>
      </c>
      <c r="D22" s="229">
        <f t="shared" si="7"/>
        <v>426</v>
      </c>
      <c r="E22" s="90">
        <f ca="1">'A2'!H22</f>
        <v>0</v>
      </c>
      <c r="F22" s="91">
        <f ca="1">'A2'!I22</f>
        <v>0</v>
      </c>
      <c r="G22" s="47"/>
      <c r="H22" s="329"/>
      <c r="I22" s="330"/>
      <c r="J22" s="47"/>
      <c r="K22" s="329"/>
      <c r="L22" s="330"/>
      <c r="N22" s="90">
        <f t="shared" ca="1" si="3"/>
        <v>0</v>
      </c>
      <c r="O22" s="91">
        <f t="shared" ca="1" si="4"/>
        <v>0</v>
      </c>
    </row>
    <row r="23" spans="2:15">
      <c r="B23" s="206" t="str">
        <f ca="1">'A2'!A23</f>
        <v>Program 15</v>
      </c>
      <c r="C23" s="106">
        <f t="shared" ca="1" si="0"/>
        <v>15</v>
      </c>
      <c r="D23" s="229">
        <f t="shared" si="7"/>
        <v>456</v>
      </c>
      <c r="E23" s="90">
        <f ca="1">'A2'!H23</f>
        <v>0</v>
      </c>
      <c r="F23" s="91">
        <f ca="1">'A2'!I23</f>
        <v>0</v>
      </c>
      <c r="G23" s="47"/>
      <c r="H23" s="329"/>
      <c r="I23" s="330"/>
      <c r="J23" s="47"/>
      <c r="K23" s="329"/>
      <c r="L23" s="330"/>
      <c r="N23" s="90">
        <f t="shared" ca="1" si="3"/>
        <v>0</v>
      </c>
      <c r="O23" s="91">
        <f t="shared" ca="1" si="4"/>
        <v>0</v>
      </c>
    </row>
    <row r="24" spans="2:15" ht="13.5" thickBot="1">
      <c r="B24" s="212" t="str">
        <f>'A2'!A24</f>
        <v xml:space="preserve">Regulatory </v>
      </c>
      <c r="C24" s="395" t="s">
        <v>189</v>
      </c>
      <c r="D24" s="229">
        <f t="shared" si="7"/>
        <v>486</v>
      </c>
      <c r="E24" s="383">
        <f>'A2'!H24</f>
        <v>0</v>
      </c>
      <c r="F24" s="384">
        <f>'A2'!I24</f>
        <v>0</v>
      </c>
      <c r="G24" s="47"/>
      <c r="H24" s="385"/>
      <c r="I24" s="386"/>
      <c r="J24" s="47"/>
      <c r="K24" s="385"/>
      <c r="L24" s="386"/>
      <c r="N24" s="383">
        <f t="shared" si="3"/>
        <v>0</v>
      </c>
      <c r="O24" s="384">
        <f t="shared" si="4"/>
        <v>0</v>
      </c>
    </row>
    <row r="25" spans="2:15" ht="13.5" thickBot="1">
      <c r="B25" s="971" t="s">
        <v>30</v>
      </c>
      <c r="C25" s="740"/>
      <c r="D25" s="10"/>
      <c r="E25" s="484">
        <f ca="1">SUM(E9:E24)</f>
        <v>1364485</v>
      </c>
      <c r="F25" s="485">
        <f ca="1">SUM(F9:F24)</f>
        <v>1278500.08</v>
      </c>
      <c r="G25" s="47"/>
      <c r="H25" s="484">
        <f ca="1">SUM(H9:H24)</f>
        <v>126587.96515251367</v>
      </c>
      <c r="I25" s="485">
        <f>SUM(I9:I24)</f>
        <v>115812.72999999998</v>
      </c>
      <c r="J25" s="47"/>
      <c r="K25" s="484">
        <f ca="1">SUM(K9:K24)</f>
        <v>1237897.0348474865</v>
      </c>
      <c r="L25" s="485">
        <f ca="1">SUM(L9:L24)</f>
        <v>1162687.3500000003</v>
      </c>
      <c r="N25" s="484">
        <f t="shared" ca="1" si="3"/>
        <v>0</v>
      </c>
      <c r="O25" s="485">
        <f t="shared" ca="1" si="4"/>
        <v>0</v>
      </c>
    </row>
    <row r="27" spans="2:15" ht="13.5" thickBot="1">
      <c r="B27" s="13" t="s">
        <v>213</v>
      </c>
      <c r="E27" s="724"/>
      <c r="F27" s="724"/>
      <c r="H27" s="724"/>
    </row>
    <row r="28" spans="2:15">
      <c r="B28" s="957" t="s">
        <v>384</v>
      </c>
      <c r="C28" s="958"/>
      <c r="D28" s="958"/>
      <c r="E28" s="958"/>
      <c r="F28" s="958"/>
      <c r="G28" s="958"/>
      <c r="H28" s="958"/>
      <c r="I28" s="958"/>
      <c r="J28" s="958"/>
      <c r="K28" s="958"/>
      <c r="L28" s="958"/>
      <c r="M28" s="958"/>
      <c r="N28" s="958"/>
      <c r="O28" s="959"/>
    </row>
    <row r="29" spans="2:15">
      <c r="B29" s="960"/>
      <c r="C29" s="961"/>
      <c r="D29" s="961"/>
      <c r="E29" s="961"/>
      <c r="F29" s="961"/>
      <c r="G29" s="961"/>
      <c r="H29" s="961"/>
      <c r="I29" s="961"/>
      <c r="J29" s="961"/>
      <c r="K29" s="961"/>
      <c r="L29" s="961"/>
      <c r="M29" s="961"/>
      <c r="N29" s="961"/>
      <c r="O29" s="962"/>
    </row>
    <row r="30" spans="2:15">
      <c r="B30" s="960"/>
      <c r="C30" s="961"/>
      <c r="D30" s="961"/>
      <c r="E30" s="961"/>
      <c r="F30" s="961"/>
      <c r="G30" s="961"/>
      <c r="H30" s="961"/>
      <c r="I30" s="961"/>
      <c r="J30" s="961"/>
      <c r="K30" s="961"/>
      <c r="L30" s="961"/>
      <c r="M30" s="961"/>
      <c r="N30" s="961"/>
      <c r="O30" s="962"/>
    </row>
    <row r="31" spans="2:15">
      <c r="B31" s="960"/>
      <c r="C31" s="961"/>
      <c r="D31" s="961"/>
      <c r="E31" s="961"/>
      <c r="F31" s="961"/>
      <c r="G31" s="961"/>
      <c r="H31" s="961"/>
      <c r="I31" s="961"/>
      <c r="J31" s="961"/>
      <c r="K31" s="961"/>
      <c r="L31" s="961"/>
      <c r="M31" s="961"/>
      <c r="N31" s="961"/>
      <c r="O31" s="962"/>
    </row>
    <row r="32" spans="2:15">
      <c r="B32" s="960"/>
      <c r="C32" s="961"/>
      <c r="D32" s="961"/>
      <c r="E32" s="961"/>
      <c r="F32" s="961"/>
      <c r="G32" s="961"/>
      <c r="H32" s="961"/>
      <c r="I32" s="961"/>
      <c r="J32" s="961"/>
      <c r="K32" s="961"/>
      <c r="L32" s="961"/>
      <c r="M32" s="961"/>
      <c r="N32" s="961"/>
      <c r="O32" s="962"/>
    </row>
    <row r="33" spans="2:15">
      <c r="B33" s="960"/>
      <c r="C33" s="961"/>
      <c r="D33" s="961"/>
      <c r="E33" s="961"/>
      <c r="F33" s="961"/>
      <c r="G33" s="961"/>
      <c r="H33" s="961"/>
      <c r="I33" s="961"/>
      <c r="J33" s="961"/>
      <c r="K33" s="961"/>
      <c r="L33" s="961"/>
      <c r="M33" s="961"/>
      <c r="N33" s="961"/>
      <c r="O33" s="962"/>
    </row>
    <row r="34" spans="2:15">
      <c r="B34" s="960"/>
      <c r="C34" s="961"/>
      <c r="D34" s="961"/>
      <c r="E34" s="961"/>
      <c r="F34" s="961"/>
      <c r="G34" s="961"/>
      <c r="H34" s="961"/>
      <c r="I34" s="961"/>
      <c r="J34" s="961"/>
      <c r="K34" s="961"/>
      <c r="L34" s="961"/>
      <c r="M34" s="961"/>
      <c r="N34" s="961"/>
      <c r="O34" s="962"/>
    </row>
    <row r="35" spans="2:15">
      <c r="B35" s="960"/>
      <c r="C35" s="961"/>
      <c r="D35" s="961"/>
      <c r="E35" s="961"/>
      <c r="F35" s="961"/>
      <c r="G35" s="961"/>
      <c r="H35" s="961"/>
      <c r="I35" s="961"/>
      <c r="J35" s="961"/>
      <c r="K35" s="961"/>
      <c r="L35" s="961"/>
      <c r="M35" s="961"/>
      <c r="N35" s="961"/>
      <c r="O35" s="962"/>
    </row>
    <row r="36" spans="2:15" ht="13.5" thickBot="1">
      <c r="B36" s="963"/>
      <c r="C36" s="964"/>
      <c r="D36" s="964"/>
      <c r="E36" s="964"/>
      <c r="F36" s="964"/>
      <c r="G36" s="964"/>
      <c r="H36" s="964"/>
      <c r="I36" s="964"/>
      <c r="J36" s="964"/>
      <c r="K36" s="964"/>
      <c r="L36" s="964"/>
      <c r="M36" s="964"/>
      <c r="N36" s="964"/>
      <c r="O36" s="965"/>
    </row>
  </sheetData>
  <mergeCells count="9">
    <mergeCell ref="B28:O36"/>
    <mergeCell ref="K6:L6"/>
    <mergeCell ref="N6:O6"/>
    <mergeCell ref="B2:O2"/>
    <mergeCell ref="B3:O3"/>
    <mergeCell ref="B4:O4"/>
    <mergeCell ref="E6:F6"/>
    <mergeCell ref="H6:I6"/>
    <mergeCell ref="B25:C25"/>
  </mergeCells>
  <phoneticPr fontId="19" type="noConversion"/>
  <pageMargins left="0.75" right="0.75" top="0.75" bottom="1" header="0.5" footer="0.5"/>
  <pageSetup scale="82" orientation="landscape" r:id="rId1"/>
  <headerFooter alignWithMargins="0">
    <oddFooter>&amp;L&amp;A&amp;C&amp;P of &amp;N&amp;R&amp;D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29"/>
  <sheetViews>
    <sheetView workbookViewId="0"/>
  </sheetViews>
  <sheetFormatPr defaultRowHeight="12.75"/>
  <cols>
    <col min="1" max="1" width="53.85546875" customWidth="1"/>
    <col min="2" max="2" width="43.7109375" customWidth="1"/>
    <col min="4" max="4" width="11.140625" bestFit="1" customWidth="1"/>
  </cols>
  <sheetData>
    <row r="1" spans="1:6">
      <c r="A1" s="68" t="s">
        <v>1</v>
      </c>
      <c r="B1" s="69" t="s">
        <v>2</v>
      </c>
      <c r="D1" s="69" t="s">
        <v>197</v>
      </c>
      <c r="E1" s="286" t="s">
        <v>44</v>
      </c>
      <c r="F1" s="286" t="s">
        <v>196</v>
      </c>
    </row>
    <row r="2" spans="1:6">
      <c r="A2" s="70" t="s">
        <v>54</v>
      </c>
      <c r="B2" s="71" t="s">
        <v>54</v>
      </c>
      <c r="D2" t="s">
        <v>198</v>
      </c>
      <c r="E2" t="s">
        <v>33</v>
      </c>
      <c r="F2" t="s">
        <v>32</v>
      </c>
    </row>
    <row r="3" spans="1:6">
      <c r="A3" s="72" t="s">
        <v>68</v>
      </c>
      <c r="B3" s="73" t="s">
        <v>158</v>
      </c>
      <c r="D3" t="s">
        <v>199</v>
      </c>
      <c r="E3" t="s">
        <v>200</v>
      </c>
      <c r="F3" t="s">
        <v>200</v>
      </c>
    </row>
    <row r="4" spans="1:6">
      <c r="A4" s="72" t="s">
        <v>184</v>
      </c>
      <c r="B4" s="73" t="s">
        <v>159</v>
      </c>
    </row>
    <row r="5" spans="1:6">
      <c r="A5" s="254" t="s">
        <v>228</v>
      </c>
      <c r="B5" s="73" t="s">
        <v>160</v>
      </c>
    </row>
    <row r="6" spans="1:6">
      <c r="A6" s="254" t="s">
        <v>233</v>
      </c>
      <c r="B6" s="73" t="s">
        <v>161</v>
      </c>
    </row>
    <row r="7" spans="1:6">
      <c r="A7" s="72" t="s">
        <v>69</v>
      </c>
      <c r="B7" s="73" t="s">
        <v>162</v>
      </c>
    </row>
    <row r="8" spans="1:6">
      <c r="A8" s="72" t="s">
        <v>56</v>
      </c>
      <c r="B8" s="73" t="s">
        <v>163</v>
      </c>
    </row>
    <row r="9" spans="1:6">
      <c r="A9" s="254" t="s">
        <v>170</v>
      </c>
      <c r="B9" s="73" t="s">
        <v>164</v>
      </c>
    </row>
    <row r="10" spans="1:6">
      <c r="A10" s="72" t="s">
        <v>181</v>
      </c>
      <c r="B10" s="73" t="s">
        <v>165</v>
      </c>
    </row>
    <row r="11" spans="1:6">
      <c r="A11" s="72" t="s">
        <v>183</v>
      </c>
      <c r="B11" s="73" t="s">
        <v>166</v>
      </c>
    </row>
    <row r="12" spans="1:6">
      <c r="A12" s="72" t="s">
        <v>57</v>
      </c>
      <c r="B12" s="73" t="s">
        <v>167</v>
      </c>
    </row>
    <row r="13" spans="1:6">
      <c r="A13" s="72" t="s">
        <v>66</v>
      </c>
      <c r="B13" s="73" t="s">
        <v>168</v>
      </c>
    </row>
    <row r="14" spans="1:6">
      <c r="A14" s="72" t="s">
        <v>234</v>
      </c>
      <c r="B14" s="73" t="s">
        <v>169</v>
      </c>
    </row>
    <row r="15" spans="1:6">
      <c r="A15" s="254" t="s">
        <v>172</v>
      </c>
      <c r="B15" s="73" t="s">
        <v>65</v>
      </c>
    </row>
    <row r="16" spans="1:6">
      <c r="A16" s="72" t="s">
        <v>185</v>
      </c>
      <c r="B16" s="541" t="s">
        <v>227</v>
      </c>
    </row>
    <row r="17" spans="1:2">
      <c r="A17" s="72" t="s">
        <v>62</v>
      </c>
      <c r="B17" s="541" t="s">
        <v>226</v>
      </c>
    </row>
    <row r="18" spans="1:2">
      <c r="A18" s="72" t="s">
        <v>61</v>
      </c>
      <c r="B18" s="73" t="s">
        <v>67</v>
      </c>
    </row>
    <row r="19" spans="1:2">
      <c r="A19" s="72" t="s">
        <v>153</v>
      </c>
      <c r="B19" s="541"/>
    </row>
    <row r="20" spans="1:2">
      <c r="A20" s="72" t="s">
        <v>55</v>
      </c>
      <c r="B20" s="541"/>
    </row>
    <row r="21" spans="1:2">
      <c r="A21" s="72" t="s">
        <v>59</v>
      </c>
      <c r="B21" s="73"/>
    </row>
    <row r="22" spans="1:2">
      <c r="A22" s="72" t="s">
        <v>64</v>
      </c>
      <c r="B22" s="73"/>
    </row>
    <row r="23" spans="1:2">
      <c r="A23" s="72" t="s">
        <v>63</v>
      </c>
      <c r="B23" s="73"/>
    </row>
    <row r="24" spans="1:2">
      <c r="A24" s="254" t="s">
        <v>171</v>
      </c>
      <c r="B24" s="73"/>
    </row>
    <row r="25" spans="1:2">
      <c r="A25" s="254" t="s">
        <v>225</v>
      </c>
    </row>
    <row r="26" spans="1:2">
      <c r="A26" s="254" t="s">
        <v>182</v>
      </c>
    </row>
    <row r="27" spans="1:2">
      <c r="A27" s="72" t="s">
        <v>60</v>
      </c>
    </row>
    <row r="28" spans="1:2">
      <c r="A28" s="72" t="s">
        <v>58</v>
      </c>
    </row>
    <row r="29" spans="1:2">
      <c r="A29" s="254" t="s">
        <v>229</v>
      </c>
    </row>
  </sheetData>
  <phoneticPr fontId="19" type="noConversion"/>
  <pageMargins left="0.75" right="0.75" top="1" bottom="1" header="0.5" footer="0.5"/>
  <pageSetup scale="66" orientation="portrait" r:id="rId1"/>
  <headerFooter alignWithMargins="0">
    <oddFooter>&amp;L&amp;A&amp;C&amp;P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6"/>
  <sheetViews>
    <sheetView zoomScale="90" workbookViewId="0">
      <selection activeCell="A2" sqref="A2"/>
    </sheetView>
  </sheetViews>
  <sheetFormatPr defaultRowHeight="12.75"/>
  <sheetData>
    <row r="1" spans="1:11" ht="18">
      <c r="A1" s="223" t="s">
        <v>130</v>
      </c>
      <c r="B1" s="221"/>
      <c r="C1" s="221"/>
      <c r="D1" s="222"/>
      <c r="E1" s="221"/>
      <c r="F1" s="221"/>
      <c r="G1" s="221"/>
      <c r="H1" s="221"/>
      <c r="I1" s="221"/>
      <c r="J1" s="221"/>
      <c r="K1" s="221"/>
    </row>
    <row r="33" spans="2:3">
      <c r="B33" s="225"/>
      <c r="C33" s="224" t="s">
        <v>133</v>
      </c>
    </row>
    <row r="34" spans="2:3">
      <c r="B34" s="226"/>
      <c r="C34" s="224" t="s">
        <v>134</v>
      </c>
    </row>
    <row r="35" spans="2:3">
      <c r="B35" s="274"/>
      <c r="C35" s="224" t="s">
        <v>135</v>
      </c>
    </row>
    <row r="36" spans="2:3">
      <c r="B36" s="255"/>
      <c r="C36" s="224" t="s">
        <v>186</v>
      </c>
    </row>
  </sheetData>
  <phoneticPr fontId="19" type="noConversion"/>
  <pageMargins left="1" right="1" top="0.75" bottom="0.75" header="0.5" footer="0.5"/>
  <pageSetup orientation="landscape" r:id="rId1"/>
  <headerFooter alignWithMargins="0">
    <oddFooter>&amp;L&amp;A&amp;C&amp;P of &amp;N&amp;R&amp;D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sheetPr>
  <dimension ref="A1:S479"/>
  <sheetViews>
    <sheetView tabSelected="1" zoomScaleNormal="100" workbookViewId="0">
      <selection activeCell="G58" sqref="G58"/>
    </sheetView>
  </sheetViews>
  <sheetFormatPr defaultColWidth="10.28515625" defaultRowHeight="12.75"/>
  <cols>
    <col min="1" max="1" width="30.5703125" style="9" customWidth="1"/>
    <col min="2" max="2" width="1.7109375" style="9" customWidth="1"/>
    <col min="3" max="3" width="12.28515625" style="9" customWidth="1"/>
    <col min="4" max="4" width="11.7109375" style="9" customWidth="1"/>
    <col min="5" max="5" width="1.7109375" style="9" customWidth="1"/>
    <col min="6" max="10" width="11.7109375" style="9" customWidth="1"/>
    <col min="11" max="11" width="1.7109375" style="9" customWidth="1"/>
    <col min="12" max="15" width="11.7109375" style="9" customWidth="1"/>
    <col min="16" max="16" width="1.7109375" style="9" customWidth="1"/>
    <col min="17" max="17" width="11.28515625" style="9" customWidth="1"/>
    <col min="18" max="18" width="11.5703125" style="9" customWidth="1"/>
    <col min="19" max="16384" width="10.28515625" style="9"/>
  </cols>
  <sheetData>
    <row r="1" spans="1:19" ht="30.75" customHeight="1">
      <c r="A1" s="760" t="s">
        <v>149</v>
      </c>
      <c r="B1" s="761"/>
      <c r="C1" s="761"/>
      <c r="D1" s="761"/>
      <c r="E1" s="761"/>
      <c r="F1" s="761"/>
      <c r="G1" s="761"/>
      <c r="H1" s="761"/>
      <c r="I1" s="761"/>
      <c r="J1" s="761"/>
      <c r="K1" s="761"/>
      <c r="L1" s="761"/>
      <c r="M1" s="761"/>
      <c r="N1" s="761"/>
      <c r="O1" s="761"/>
      <c r="P1" s="761"/>
      <c r="Q1" s="761"/>
      <c r="R1" s="762"/>
    </row>
    <row r="2" spans="1:19">
      <c r="A2" s="17"/>
      <c r="B2" s="17"/>
      <c r="C2" s="17"/>
      <c r="D2" s="17"/>
      <c r="E2" s="17"/>
      <c r="F2" s="17"/>
      <c r="G2" s="17"/>
      <c r="H2" s="17"/>
      <c r="I2" s="17"/>
      <c r="J2" s="17"/>
      <c r="K2" s="17"/>
      <c r="L2" s="17"/>
      <c r="M2" s="17"/>
      <c r="N2" s="17"/>
      <c r="O2" s="17"/>
    </row>
    <row r="3" spans="1:19">
      <c r="A3" s="18" t="s">
        <v>35</v>
      </c>
      <c r="B3" s="18"/>
      <c r="C3" s="777">
        <v>2010</v>
      </c>
      <c r="D3" s="778"/>
      <c r="E3" s="778"/>
      <c r="F3" s="778"/>
      <c r="G3" s="779"/>
      <c r="I3" s="3" t="s">
        <v>197</v>
      </c>
    </row>
    <row r="4" spans="1:19">
      <c r="A4" s="18" t="s">
        <v>36</v>
      </c>
      <c r="B4" s="18"/>
      <c r="C4" s="780" t="s">
        <v>377</v>
      </c>
      <c r="D4" s="781"/>
      <c r="E4" s="781"/>
      <c r="F4" s="781"/>
      <c r="G4" s="781"/>
      <c r="I4" s="293" t="s">
        <v>198</v>
      </c>
    </row>
    <row r="5" spans="1:19">
      <c r="A5" s="18" t="s">
        <v>37</v>
      </c>
      <c r="B5" s="18"/>
      <c r="C5" s="780" t="s">
        <v>378</v>
      </c>
      <c r="D5" s="781"/>
      <c r="E5" s="781"/>
      <c r="F5" s="781"/>
      <c r="G5" s="781"/>
    </row>
    <row r="6" spans="1:19">
      <c r="A6" s="18" t="s">
        <v>38</v>
      </c>
      <c r="B6" s="18"/>
      <c r="C6" s="782">
        <v>40634</v>
      </c>
      <c r="D6" s="783"/>
      <c r="E6" s="783"/>
      <c r="F6" s="783"/>
      <c r="G6" s="784"/>
    </row>
    <row r="7" spans="1:19" ht="15" customHeight="1">
      <c r="A7" s="18" t="s">
        <v>39</v>
      </c>
      <c r="B7" s="18"/>
      <c r="C7" s="775">
        <v>40179</v>
      </c>
      <c r="D7" s="775"/>
      <c r="E7" s="775"/>
      <c r="F7" s="775"/>
      <c r="G7" s="775"/>
    </row>
    <row r="8" spans="1:19">
      <c r="A8" s="18" t="s">
        <v>212</v>
      </c>
      <c r="B8" s="18"/>
      <c r="C8" s="776">
        <v>1</v>
      </c>
      <c r="D8" s="776"/>
      <c r="E8" s="776"/>
      <c r="F8" s="776"/>
      <c r="G8" s="776"/>
    </row>
    <row r="9" spans="1:19">
      <c r="A9" s="18" t="s">
        <v>40</v>
      </c>
      <c r="B9" s="18"/>
      <c r="C9" s="776" t="s">
        <v>293</v>
      </c>
      <c r="D9" s="776"/>
      <c r="E9" s="776"/>
      <c r="F9" s="776"/>
      <c r="G9" s="776"/>
    </row>
    <row r="10" spans="1:19" ht="13.5" thickBot="1"/>
    <row r="11" spans="1:19" ht="15.75" customHeight="1" thickBot="1">
      <c r="A11" s="758" t="s">
        <v>217</v>
      </c>
      <c r="B11" s="3"/>
      <c r="C11" s="738" t="str">
        <f>C3&amp;" Annual Budget"</f>
        <v>2010 Annual Budget</v>
      </c>
      <c r="D11" s="740"/>
      <c r="E11" s="21"/>
      <c r="F11" s="738" t="str">
        <f>C3&amp;" Actual Expenses"</f>
        <v>2010 Actual Expenses</v>
      </c>
      <c r="G11" s="739"/>
      <c r="H11" s="739"/>
      <c r="I11" s="739"/>
      <c r="J11" s="740"/>
      <c r="K11" s="22"/>
      <c r="L11" s="738" t="str">
        <f>C3&amp;" % of Budget Achieved"</f>
        <v>2010 % of Budget Achieved</v>
      </c>
      <c r="M11" s="739"/>
      <c r="N11" s="739"/>
      <c r="O11" s="740"/>
      <c r="Q11" s="738" t="str">
        <f>C3+1&amp;" Annual Budget"</f>
        <v>2011 Annual Budget</v>
      </c>
      <c r="R11" s="740"/>
    </row>
    <row r="12" spans="1:19" ht="13.5" thickBot="1">
      <c r="A12" s="759"/>
      <c r="B12" s="3"/>
      <c r="C12" s="753"/>
      <c r="D12" s="754"/>
      <c r="E12" s="21"/>
      <c r="F12" s="755"/>
      <c r="G12" s="756"/>
      <c r="H12" s="756"/>
      <c r="I12" s="756"/>
      <c r="J12" s="757"/>
      <c r="K12" s="22"/>
      <c r="L12" s="755"/>
      <c r="M12" s="756"/>
      <c r="N12" s="756"/>
      <c r="O12" s="757"/>
      <c r="Q12" s="753"/>
      <c r="R12" s="754"/>
    </row>
    <row r="13" spans="1:19" ht="13.5" thickBot="1">
      <c r="A13" s="736" t="s">
        <v>5</v>
      </c>
      <c r="B13" s="3"/>
      <c r="C13" s="14" t="s">
        <v>6</v>
      </c>
      <c r="D13" s="14" t="s">
        <v>7</v>
      </c>
      <c r="E13" s="21"/>
      <c r="F13" s="738" t="s">
        <v>28</v>
      </c>
      <c r="G13" s="739"/>
      <c r="H13" s="739"/>
      <c r="I13" s="14" t="s">
        <v>6</v>
      </c>
      <c r="J13" s="14" t="s">
        <v>7</v>
      </c>
      <c r="K13" s="22"/>
      <c r="L13" s="738" t="s">
        <v>8</v>
      </c>
      <c r="M13" s="739"/>
      <c r="N13" s="739"/>
      <c r="O13" s="740"/>
      <c r="Q13" s="14" t="s">
        <v>6</v>
      </c>
      <c r="R13" s="14" t="s">
        <v>7</v>
      </c>
    </row>
    <row r="14" spans="1:19" ht="13.5" thickBot="1">
      <c r="A14" s="737"/>
      <c r="B14" s="4"/>
      <c r="C14" s="16" t="s">
        <v>12</v>
      </c>
      <c r="D14" s="16" t="s">
        <v>12</v>
      </c>
      <c r="E14" s="23"/>
      <c r="F14" s="16" t="s">
        <v>9</v>
      </c>
      <c r="G14" s="24" t="s">
        <v>10</v>
      </c>
      <c r="H14" s="25" t="s">
        <v>11</v>
      </c>
      <c r="I14" s="16" t="s">
        <v>13</v>
      </c>
      <c r="J14" s="16" t="s">
        <v>13</v>
      </c>
      <c r="K14" s="22"/>
      <c r="L14" s="16" t="s">
        <v>9</v>
      </c>
      <c r="M14" s="24" t="s">
        <v>10</v>
      </c>
      <c r="N14" s="25" t="s">
        <v>11</v>
      </c>
      <c r="O14" s="15" t="s">
        <v>6</v>
      </c>
      <c r="Q14" s="16" t="s">
        <v>12</v>
      </c>
      <c r="R14" s="16" t="s">
        <v>12</v>
      </c>
    </row>
    <row r="15" spans="1:19" ht="30" customHeight="1">
      <c r="A15" s="26" t="s">
        <v>241</v>
      </c>
      <c r="C15" s="109">
        <f>SUM(C46,C76,C106,C136,C166,C196,C226,C256,C286,C316,C346,C376,C406,C436,C466)</f>
        <v>0</v>
      </c>
      <c r="D15" s="27">
        <f>IF(ISERROR(C15/C21),"-",C15/C21)</f>
        <v>0</v>
      </c>
      <c r="E15" s="22"/>
      <c r="F15" s="109">
        <f t="shared" ref="F15:H18" si="0">SUM(F46,F76,F106,F136,F166,F196,F226,F256,F286,F316,F346,F376,F406,F436,F466)</f>
        <v>0</v>
      </c>
      <c r="G15" s="110">
        <f t="shared" si="0"/>
        <v>0</v>
      </c>
      <c r="H15" s="110">
        <f t="shared" si="0"/>
        <v>0</v>
      </c>
      <c r="I15" s="28">
        <f t="shared" ref="I15:I21" si="1">F15+G15+H15</f>
        <v>0</v>
      </c>
      <c r="J15" s="27">
        <f>IF(ISERROR(I15/I21),"-",I15/I21)</f>
        <v>0</v>
      </c>
      <c r="K15" s="22"/>
      <c r="L15" s="29" t="str">
        <f t="shared" ref="L15:O21" si="2">IF(ISERROR(F15/$C15),"-",F15/$C15)</f>
        <v>-</v>
      </c>
      <c r="M15" s="89" t="str">
        <f t="shared" si="2"/>
        <v>-</v>
      </c>
      <c r="N15" s="89" t="str">
        <f t="shared" si="2"/>
        <v>-</v>
      </c>
      <c r="O15" s="27" t="str">
        <f t="shared" si="2"/>
        <v>-</v>
      </c>
      <c r="Q15" s="109">
        <f>SUM(Q46,Q76,Q106,Q136,Q166,Q196,Q226,Q256,Q286,Q316,Q346,Q376,Q406,Q436,Q466)</f>
        <v>0</v>
      </c>
      <c r="R15" s="27" t="str">
        <f>IF(ISERROR(Q15/Q21),"-",Q15/Q21)</f>
        <v>-</v>
      </c>
      <c r="S15" s="31"/>
    </row>
    <row r="16" spans="1:19" ht="30" customHeight="1">
      <c r="A16" s="32" t="s">
        <v>179</v>
      </c>
      <c r="C16" s="111">
        <f>SUM(C47,C77,C107,C137,C167,C197,C227,C257,C287,C317,C347,C377,C407,C437,C467)</f>
        <v>87545</v>
      </c>
      <c r="D16" s="30">
        <f>IF(ISERROR(C16/C21),"-",C16/C21)</f>
        <v>6.4159737923099189E-2</v>
      </c>
      <c r="E16" s="22"/>
      <c r="F16" s="111">
        <f t="shared" si="0"/>
        <v>107937.94999999998</v>
      </c>
      <c r="G16" s="112">
        <f t="shared" si="0"/>
        <v>0</v>
      </c>
      <c r="H16" s="112">
        <f t="shared" si="0"/>
        <v>0</v>
      </c>
      <c r="I16" s="81">
        <f t="shared" si="1"/>
        <v>107937.94999999998</v>
      </c>
      <c r="J16" s="30">
        <f>IF(ISERROR(I16/I21),"-",I16/I21)</f>
        <v>8.4425454240096703E-2</v>
      </c>
      <c r="K16" s="22"/>
      <c r="L16" s="86">
        <f t="shared" si="2"/>
        <v>1.2329424867211147</v>
      </c>
      <c r="M16" s="82">
        <f t="shared" si="2"/>
        <v>0</v>
      </c>
      <c r="N16" s="82">
        <f t="shared" si="2"/>
        <v>0</v>
      </c>
      <c r="O16" s="30">
        <f t="shared" si="2"/>
        <v>1.2329424867211147</v>
      </c>
      <c r="Q16" s="111">
        <f>SUM(Q47,Q77,Q107,Q137,Q167,Q197,Q227,Q257,Q287,Q317,Q347,Q377,Q407,Q437,Q467)</f>
        <v>0</v>
      </c>
      <c r="R16" s="30" t="str">
        <f>IF(ISERROR(Q16/Q21),"-",Q16/Q21)</f>
        <v>-</v>
      </c>
      <c r="S16" s="31"/>
    </row>
    <row r="17" spans="1:19" ht="30" customHeight="1">
      <c r="A17" s="32" t="s">
        <v>14</v>
      </c>
      <c r="C17" s="111">
        <f>SUM(C48,C78,C108,C138,C168,C198,C228,C258,C288,C318,C348,C378,C408,C438,C468)</f>
        <v>1093940</v>
      </c>
      <c r="D17" s="30">
        <f>IF(ISERROR(C17/C21),"-",C17/C21)</f>
        <v>0.80172372726706409</v>
      </c>
      <c r="E17" s="22"/>
      <c r="F17" s="111">
        <f t="shared" si="0"/>
        <v>31668</v>
      </c>
      <c r="G17" s="112">
        <f t="shared" si="0"/>
        <v>0</v>
      </c>
      <c r="H17" s="112">
        <f t="shared" si="0"/>
        <v>1036234.01</v>
      </c>
      <c r="I17" s="81">
        <f t="shared" si="1"/>
        <v>1067902.01</v>
      </c>
      <c r="J17" s="30">
        <f>IF(ISERROR(I17/I21),"-",I17/I21)</f>
        <v>0.83527723361581641</v>
      </c>
      <c r="K17" s="22"/>
      <c r="L17" s="86">
        <f t="shared" si="2"/>
        <v>2.8948571219628134E-2</v>
      </c>
      <c r="M17" s="82">
        <f t="shared" si="2"/>
        <v>0</v>
      </c>
      <c r="N17" s="82">
        <f t="shared" si="2"/>
        <v>0.94724940124686907</v>
      </c>
      <c r="O17" s="30">
        <f t="shared" si="2"/>
        <v>0.97619797246649731</v>
      </c>
      <c r="Q17" s="111">
        <f>SUM(Q48,Q78,Q108,Q138,Q168,Q198,Q228,Q258,Q288,Q318,Q348,Q378,Q408,Q438,Q468)</f>
        <v>0</v>
      </c>
      <c r="R17" s="30" t="str">
        <f>IF(ISERROR(Q17/Q21),"-",Q17/Q21)</f>
        <v>-</v>
      </c>
      <c r="S17" s="31"/>
    </row>
    <row r="18" spans="1:19" ht="30" customHeight="1">
      <c r="A18" s="32" t="s">
        <v>15</v>
      </c>
      <c r="C18" s="111">
        <f>SUM(C49,C79,C109,C139,C169,C199,C229,C259,C289,C319,C349,C379,C409,C439,C469)</f>
        <v>0</v>
      </c>
      <c r="D18" s="30">
        <f>IF(ISERROR(C18/C21),"-",C18/C21)</f>
        <v>0</v>
      </c>
      <c r="E18" s="22"/>
      <c r="F18" s="111">
        <f t="shared" si="0"/>
        <v>0</v>
      </c>
      <c r="G18" s="112">
        <f t="shared" si="0"/>
        <v>0</v>
      </c>
      <c r="H18" s="112">
        <f t="shared" si="0"/>
        <v>0</v>
      </c>
      <c r="I18" s="81">
        <f t="shared" si="1"/>
        <v>0</v>
      </c>
      <c r="J18" s="30">
        <f>IF(ISERROR(I18/I21),"-",I18/I21)</f>
        <v>0</v>
      </c>
      <c r="K18" s="22"/>
      <c r="L18" s="86" t="str">
        <f t="shared" si="2"/>
        <v>-</v>
      </c>
      <c r="M18" s="82" t="str">
        <f t="shared" si="2"/>
        <v>-</v>
      </c>
      <c r="N18" s="82" t="str">
        <f t="shared" si="2"/>
        <v>-</v>
      </c>
      <c r="O18" s="30" t="str">
        <f t="shared" si="2"/>
        <v>-</v>
      </c>
      <c r="Q18" s="111">
        <f>SUM(Q49,Q79,Q109,Q139,Q169,Q199,Q229,Q259,Q289,Q319,Q349,Q379,Q409,Q439,Q469)</f>
        <v>0</v>
      </c>
      <c r="R18" s="30" t="str">
        <f>IF(ISERROR(Q18/Q21),"-",Q18/Q21)</f>
        <v>-</v>
      </c>
      <c r="S18" s="31"/>
    </row>
    <row r="19" spans="1:19" ht="30" customHeight="1">
      <c r="A19" s="32" t="s">
        <v>16</v>
      </c>
      <c r="C19" s="382">
        <v>0</v>
      </c>
      <c r="D19" s="30">
        <f>IF(ISERROR(C19/C21),"-",C19/C21)</f>
        <v>0</v>
      </c>
      <c r="E19" s="22"/>
      <c r="F19" s="382">
        <v>0</v>
      </c>
      <c r="G19" s="387">
        <v>0</v>
      </c>
      <c r="H19" s="387">
        <v>0</v>
      </c>
      <c r="I19" s="81">
        <f t="shared" si="1"/>
        <v>0</v>
      </c>
      <c r="J19" s="30">
        <f>IF(ISERROR(I19/I21),"-",I19/I21)</f>
        <v>0</v>
      </c>
      <c r="K19" s="22"/>
      <c r="L19" s="86" t="str">
        <f t="shared" si="2"/>
        <v>-</v>
      </c>
      <c r="M19" s="82" t="str">
        <f t="shared" si="2"/>
        <v>-</v>
      </c>
      <c r="N19" s="82" t="str">
        <f t="shared" si="2"/>
        <v>-</v>
      </c>
      <c r="O19" s="30" t="str">
        <f t="shared" si="2"/>
        <v>-</v>
      </c>
      <c r="Q19" s="382"/>
      <c r="R19" s="30" t="str">
        <f>IF(ISERROR(Q19/Q21),"-",Q19/Q21)</f>
        <v>-</v>
      </c>
      <c r="S19" s="31"/>
    </row>
    <row r="20" spans="1:19" ht="30" customHeight="1" thickBot="1">
      <c r="A20" s="33" t="s">
        <v>17</v>
      </c>
      <c r="C20" s="111">
        <f>SUM(C50,C80,C110,C140,C170,C200,C230,C260,C290,C320,C350,C380,C410,C440,C470)</f>
        <v>183000</v>
      </c>
      <c r="D20" s="30">
        <f>IF(ISERROR(C20/C21),"-",C20/C21)</f>
        <v>0.13411653480983668</v>
      </c>
      <c r="E20" s="22"/>
      <c r="F20" s="111">
        <f>SUM(F50,F80,F110,F140,F170,F200,F230,F260,F290,F320,F350,F380,F410,F440,F470)</f>
        <v>102660.11999999998</v>
      </c>
      <c r="G20" s="112">
        <f>SUM(G50,G80,G110,G140,G170,G200,G230,G260,G290,G320,G350,G380,G410,G440,G470)</f>
        <v>0</v>
      </c>
      <c r="H20" s="112">
        <f>SUM(H50,H80,H110,H140,H170,H200,H230,H260,H290,H320,H350,H380,H410,H440,H470)</f>
        <v>0</v>
      </c>
      <c r="I20" s="81">
        <f t="shared" si="1"/>
        <v>102660.11999999998</v>
      </c>
      <c r="J20" s="30">
        <f>IF(ISERROR(I20/I21),"-",I20/I21)</f>
        <v>8.0297312144086821E-2</v>
      </c>
      <c r="K20" s="22"/>
      <c r="L20" s="86">
        <f t="shared" si="2"/>
        <v>0.56098426229508191</v>
      </c>
      <c r="M20" s="82">
        <f t="shared" si="2"/>
        <v>0</v>
      </c>
      <c r="N20" s="82">
        <f t="shared" si="2"/>
        <v>0</v>
      </c>
      <c r="O20" s="30">
        <f t="shared" si="2"/>
        <v>0.56098426229508191</v>
      </c>
      <c r="Q20" s="111">
        <f>SUM(Q50,Q80,Q110,Q140,Q170,Q200,Q230,Q260,Q290,Q320,Q350,Q380,Q410,Q440,Q470)</f>
        <v>0</v>
      </c>
      <c r="R20" s="30" t="str">
        <f>IF(ISERROR(Q20/Q21),"-",Q20/Q21)</f>
        <v>-</v>
      </c>
      <c r="S20" s="31"/>
    </row>
    <row r="21" spans="1:19" ht="30" customHeight="1" thickBot="1">
      <c r="A21" s="34" t="s">
        <v>18</v>
      </c>
      <c r="C21" s="83">
        <f>SUM(C15:C20)</f>
        <v>1364485</v>
      </c>
      <c r="D21" s="84">
        <f>SUM(D15:D20)</f>
        <v>0.99999999999999989</v>
      </c>
      <c r="E21" s="22"/>
      <c r="F21" s="83">
        <f>SUM(F15:F20)</f>
        <v>242266.06999999995</v>
      </c>
      <c r="G21" s="85">
        <f>SUM(G15:G20)</f>
        <v>0</v>
      </c>
      <c r="H21" s="85">
        <f>SUM(H15:H20)</f>
        <v>1036234.01</v>
      </c>
      <c r="I21" s="85">
        <f t="shared" si="1"/>
        <v>1278500.08</v>
      </c>
      <c r="J21" s="84">
        <f>SUM(J15:J20)</f>
        <v>1</v>
      </c>
      <c r="K21" s="22"/>
      <c r="L21" s="87">
        <f>IF(ISERROR(F21/$C21),"-",F21/$C21)</f>
        <v>0.17755128858140615</v>
      </c>
      <c r="M21" s="88">
        <f t="shared" si="2"/>
        <v>0</v>
      </c>
      <c r="N21" s="88">
        <f t="shared" si="2"/>
        <v>0.75943232061913468</v>
      </c>
      <c r="O21" s="84">
        <f t="shared" si="2"/>
        <v>0.93698360920054091</v>
      </c>
      <c r="Q21" s="83">
        <f>SUM(Q15:Q20)</f>
        <v>0</v>
      </c>
      <c r="R21" s="84">
        <f>SUM(R15:R20)</f>
        <v>0</v>
      </c>
    </row>
    <row r="23" spans="1:19" ht="13.5" thickBot="1"/>
    <row r="24" spans="1:19" ht="15.75" customHeight="1" thickBot="1">
      <c r="A24" s="741" t="s">
        <v>218</v>
      </c>
      <c r="B24" s="3"/>
      <c r="C24" s="743">
        <f>C3</f>
        <v>2010</v>
      </c>
      <c r="D24" s="744"/>
      <c r="E24" s="35"/>
      <c r="F24" s="36">
        <f>C3+1</f>
        <v>2011</v>
      </c>
      <c r="G24" s="37"/>
      <c r="H24" s="745" t="str">
        <f>'A1'!C3&amp;" Program Year"</f>
        <v>2010 Program Year</v>
      </c>
      <c r="I24" s="746"/>
      <c r="J24" s="747"/>
      <c r="K24" s="37"/>
      <c r="L24" s="37"/>
      <c r="M24" s="37"/>
      <c r="N24" s="37"/>
      <c r="O24" s="37"/>
    </row>
    <row r="25" spans="1:19" ht="13.5" thickBot="1">
      <c r="A25" s="742"/>
      <c r="B25" s="3"/>
      <c r="C25" s="751"/>
      <c r="D25" s="752"/>
      <c r="F25" s="388"/>
      <c r="G25" s="74"/>
      <c r="H25" s="748"/>
      <c r="I25" s="749"/>
      <c r="J25" s="750"/>
      <c r="K25" s="75"/>
      <c r="L25" s="80"/>
      <c r="M25" s="80"/>
    </row>
    <row r="26" spans="1:19" ht="30.75" customHeight="1" thickBot="1">
      <c r="A26" s="38" t="s">
        <v>5</v>
      </c>
      <c r="B26" s="4"/>
      <c r="C26" s="39" t="s">
        <v>20</v>
      </c>
      <c r="D26" s="40" t="s">
        <v>21</v>
      </c>
      <c r="F26" s="41" t="s">
        <v>20</v>
      </c>
      <c r="G26" s="42"/>
      <c r="H26" s="727" t="s">
        <v>70</v>
      </c>
      <c r="I26" s="728"/>
      <c r="J26" s="729"/>
      <c r="K26" s="42"/>
      <c r="L26" s="80"/>
      <c r="M26" s="80"/>
    </row>
    <row r="27" spans="1:19" ht="30" customHeight="1">
      <c r="A27" s="12" t="str">
        <f>"Lifetime Demand Savings ("&amp;VLOOKUP($I$4,'Pull-down list'!D2:F3,3)&amp;"*Yrs"&amp;")"</f>
        <v>Lifetime Demand Savings (kW*Yrs)</v>
      </c>
      <c r="C27" s="113">
        <f>SUM(C57,C87,C117,C147,C177,C207,C237,C267,C297,C327,C357,C387,C417,C447,C477)</f>
        <v>970</v>
      </c>
      <c r="D27" s="114">
        <f>SUM(D57,D87,D117,D147,D177,D207,D237,D267,D297,D327,D357,D387,D417,D447,D477)</f>
        <v>1330.1746910774657</v>
      </c>
      <c r="F27" s="115">
        <f>SUM(F57,F87,F117,F147,F177,F207,F237,F267,F297,F327,F357,F387,F417,F447,F477)</f>
        <v>531</v>
      </c>
      <c r="G27" s="42"/>
      <c r="H27" s="730" t="s">
        <v>53</v>
      </c>
      <c r="I27" s="731"/>
      <c r="J27" s="122">
        <f>SUM(J57,J87,J117,J147,J177,J207,J237,J267,J297,J327,J357,J387,J417,J447,J477)</f>
        <v>2300</v>
      </c>
      <c r="K27" s="42"/>
      <c r="L27" s="43"/>
      <c r="M27" s="44"/>
    </row>
    <row r="28" spans="1:19" ht="30" customHeight="1">
      <c r="A28" s="1" t="str">
        <f>"Lifetime Energy Savings ("&amp;VLOOKUP($I$4,'Pull-down list'!D2:F3,2)&amp;")"</f>
        <v>Lifetime Energy Savings (kWh)</v>
      </c>
      <c r="C28" s="116">
        <f>SUM(C58,C88,C118,C148,C178,C208,C238,C268,C298,C328,C358,C388,C418,C448,C478)</f>
        <v>38786041.542000003</v>
      </c>
      <c r="D28" s="117">
        <f>SUM(D58,D88,D118,D148,D178,D208,D238,D268,D298,D328,D358,D388,D418,D448,D478)</f>
        <v>46159234.486884966</v>
      </c>
      <c r="F28" s="118">
        <f>SUM(F58,F88,F118,F148,F178,F208,F238,F268,F298,F328,F358,F388,F418,F448,F478)</f>
        <v>19392774.008000001</v>
      </c>
      <c r="G28" s="42"/>
      <c r="H28" s="732" t="s">
        <v>46</v>
      </c>
      <c r="I28" s="733"/>
      <c r="J28" s="123">
        <f>SUM(J58,J88,J118,J148,J178,J208,J238,J268,J298,J328,J358,J388,J418,J448,J478)</f>
        <v>2055</v>
      </c>
      <c r="K28" s="42"/>
      <c r="L28" s="78"/>
      <c r="M28" s="44"/>
    </row>
    <row r="29" spans="1:19" ht="30" customHeight="1" thickBot="1">
      <c r="A29" s="45" t="s">
        <v>22</v>
      </c>
      <c r="C29" s="119"/>
      <c r="D29" s="120"/>
      <c r="F29" s="121"/>
      <c r="H29" s="734" t="s">
        <v>83</v>
      </c>
      <c r="I29" s="735"/>
      <c r="J29" s="124">
        <f>SUM(J59,J89,J119,J149,J179,J209,J239,J269,J299,J329,J359,J389,J419,J449,J479)</f>
        <v>0</v>
      </c>
      <c r="L29" s="79"/>
      <c r="M29" s="42"/>
    </row>
    <row r="31" spans="1:19" ht="13.5" thickBot="1">
      <c r="A31" s="227"/>
      <c r="B31" s="227"/>
      <c r="C31" s="227"/>
      <c r="D31" s="227"/>
      <c r="E31" s="227"/>
      <c r="F31" s="227"/>
      <c r="G31" s="227"/>
      <c r="H31" s="227"/>
      <c r="I31" s="227"/>
      <c r="J31" s="227"/>
      <c r="K31" s="227"/>
      <c r="L31" s="227"/>
      <c r="M31" s="227"/>
      <c r="N31" s="227"/>
      <c r="O31" s="227"/>
      <c r="P31" s="227"/>
      <c r="Q31" s="227"/>
      <c r="R31" s="227"/>
    </row>
    <row r="33" spans="1:18" ht="27.75">
      <c r="A33" s="760" t="str">
        <f>"Energy Efficiency Program Detail - "&amp;C36</f>
        <v>Energy Efficiency Program Detail - Weatherization</v>
      </c>
      <c r="B33" s="761"/>
      <c r="C33" s="761"/>
      <c r="D33" s="761"/>
      <c r="E33" s="761"/>
      <c r="F33" s="761"/>
      <c r="G33" s="761"/>
      <c r="H33" s="761"/>
      <c r="I33" s="761"/>
      <c r="J33" s="761"/>
      <c r="K33" s="761"/>
      <c r="L33" s="761"/>
      <c r="M33" s="761"/>
      <c r="N33" s="761"/>
      <c r="O33" s="761"/>
      <c r="P33" s="761"/>
      <c r="Q33" s="761"/>
      <c r="R33" s="762"/>
    </row>
    <row r="34" spans="1:18">
      <c r="A34" s="17"/>
      <c r="B34" s="17"/>
      <c r="C34" s="17"/>
      <c r="D34" s="17"/>
      <c r="E34" s="17"/>
      <c r="F34" s="17"/>
      <c r="G34" s="17"/>
      <c r="H34" s="17"/>
      <c r="I34" s="17"/>
      <c r="J34" s="17"/>
      <c r="K34" s="17"/>
      <c r="L34" s="17"/>
      <c r="M34" s="17"/>
      <c r="N34" s="17"/>
      <c r="O34" s="17"/>
    </row>
    <row r="35" spans="1:18">
      <c r="A35" s="18"/>
      <c r="B35" s="18"/>
    </row>
    <row r="36" spans="1:18">
      <c r="A36" s="19" t="s">
        <v>0</v>
      </c>
      <c r="B36" s="18"/>
      <c r="C36" s="763" t="s">
        <v>58</v>
      </c>
      <c r="D36" s="764"/>
      <c r="E36" s="764"/>
      <c r="F36" s="764"/>
      <c r="G36" s="765"/>
      <c r="H36" s="3" t="s">
        <v>82</v>
      </c>
      <c r="J36" s="766" t="s">
        <v>295</v>
      </c>
      <c r="K36" s="767"/>
      <c r="L36" s="767"/>
      <c r="M36" s="767"/>
      <c r="N36" s="767"/>
      <c r="O36" s="767"/>
      <c r="P36" s="767"/>
      <c r="Q36" s="767"/>
      <c r="R36" s="768"/>
    </row>
    <row r="37" spans="1:18">
      <c r="A37" s="20" t="s">
        <v>1</v>
      </c>
      <c r="B37" s="18"/>
      <c r="C37" s="763" t="s">
        <v>58</v>
      </c>
      <c r="D37" s="764"/>
      <c r="E37" s="764"/>
      <c r="F37" s="764"/>
      <c r="G37" s="765"/>
      <c r="J37" s="769"/>
      <c r="K37" s="770"/>
      <c r="L37" s="770"/>
      <c r="M37" s="770"/>
      <c r="N37" s="770"/>
      <c r="O37" s="770"/>
      <c r="P37" s="770"/>
      <c r="Q37" s="770"/>
      <c r="R37" s="771"/>
    </row>
    <row r="38" spans="1:18">
      <c r="A38" s="20" t="s">
        <v>2</v>
      </c>
      <c r="B38" s="18"/>
      <c r="C38" s="763" t="s">
        <v>158</v>
      </c>
      <c r="D38" s="764"/>
      <c r="E38" s="764"/>
      <c r="F38" s="764"/>
      <c r="G38" s="765"/>
      <c r="J38" s="769"/>
      <c r="K38" s="770"/>
      <c r="L38" s="770"/>
      <c r="M38" s="770"/>
      <c r="N38" s="770"/>
      <c r="O38" s="770"/>
      <c r="P38" s="770"/>
      <c r="Q38" s="770"/>
      <c r="R38" s="771"/>
    </row>
    <row r="39" spans="1:18">
      <c r="A39" s="20" t="s">
        <v>3</v>
      </c>
      <c r="B39" s="18"/>
      <c r="C39" s="763">
        <v>1</v>
      </c>
      <c r="D39" s="764"/>
      <c r="E39" s="764"/>
      <c r="F39" s="764"/>
      <c r="G39" s="765"/>
      <c r="J39" s="772"/>
      <c r="K39" s="773"/>
      <c r="L39" s="773"/>
      <c r="M39" s="773"/>
      <c r="N39" s="773"/>
      <c r="O39" s="773"/>
      <c r="P39" s="773"/>
      <c r="Q39" s="773"/>
      <c r="R39" s="774"/>
    </row>
    <row r="40" spans="1:18">
      <c r="A40" s="18"/>
      <c r="B40" s="18"/>
    </row>
    <row r="41" spans="1:18" ht="13.5" thickBot="1">
      <c r="A41" s="18"/>
      <c r="B41" s="18"/>
    </row>
    <row r="42" spans="1:18" ht="15.75" customHeight="1" thickBot="1">
      <c r="A42" s="758" t="s">
        <v>4</v>
      </c>
      <c r="B42" s="3"/>
      <c r="C42" s="738" t="s">
        <v>144</v>
      </c>
      <c r="D42" s="740"/>
      <c r="E42" s="21"/>
      <c r="F42" s="738" t="s">
        <v>145</v>
      </c>
      <c r="G42" s="739"/>
      <c r="H42" s="739"/>
      <c r="I42" s="739"/>
      <c r="J42" s="740"/>
      <c r="K42" s="22"/>
      <c r="L42" s="738" t="s">
        <v>146</v>
      </c>
      <c r="M42" s="739"/>
      <c r="N42" s="739"/>
      <c r="O42" s="740"/>
      <c r="Q42" s="738" t="s">
        <v>147</v>
      </c>
      <c r="R42" s="740"/>
    </row>
    <row r="43" spans="1:18" ht="13.5" customHeight="1" thickBot="1">
      <c r="A43" s="759"/>
      <c r="B43" s="3"/>
      <c r="C43" s="753"/>
      <c r="D43" s="754"/>
      <c r="E43" s="21"/>
      <c r="F43" s="755"/>
      <c r="G43" s="756"/>
      <c r="H43" s="756"/>
      <c r="I43" s="756"/>
      <c r="J43" s="757"/>
      <c r="K43" s="22"/>
      <c r="L43" s="755"/>
      <c r="M43" s="756"/>
      <c r="N43" s="756"/>
      <c r="O43" s="757"/>
      <c r="Q43" s="753"/>
      <c r="R43" s="754"/>
    </row>
    <row r="44" spans="1:18" ht="13.5" customHeight="1" thickBot="1">
      <c r="A44" s="736" t="s">
        <v>5</v>
      </c>
      <c r="B44" s="3"/>
      <c r="C44" s="14" t="s">
        <v>6</v>
      </c>
      <c r="D44" s="14" t="s">
        <v>7</v>
      </c>
      <c r="E44" s="21"/>
      <c r="F44" s="738" t="s">
        <v>28</v>
      </c>
      <c r="G44" s="739"/>
      <c r="H44" s="739"/>
      <c r="I44" s="14" t="s">
        <v>6</v>
      </c>
      <c r="J44" s="14" t="s">
        <v>7</v>
      </c>
      <c r="K44" s="22"/>
      <c r="L44" s="738" t="s">
        <v>8</v>
      </c>
      <c r="M44" s="739"/>
      <c r="N44" s="739"/>
      <c r="O44" s="740"/>
      <c r="Q44" s="14" t="s">
        <v>6</v>
      </c>
      <c r="R44" s="14" t="s">
        <v>7</v>
      </c>
    </row>
    <row r="45" spans="1:18" ht="13.5" customHeight="1" thickBot="1">
      <c r="A45" s="737"/>
      <c r="B45" s="4"/>
      <c r="C45" s="16" t="s">
        <v>12</v>
      </c>
      <c r="D45" s="16" t="s">
        <v>12</v>
      </c>
      <c r="E45" s="23"/>
      <c r="F45" s="16" t="s">
        <v>9</v>
      </c>
      <c r="G45" s="24" t="s">
        <v>10</v>
      </c>
      <c r="H45" s="25" t="s">
        <v>11</v>
      </c>
      <c r="I45" s="16" t="s">
        <v>13</v>
      </c>
      <c r="J45" s="16" t="s">
        <v>13</v>
      </c>
      <c r="K45" s="22"/>
      <c r="L45" s="16" t="s">
        <v>9</v>
      </c>
      <c r="M45" s="24" t="s">
        <v>10</v>
      </c>
      <c r="N45" s="25" t="s">
        <v>11</v>
      </c>
      <c r="O45" s="15" t="s">
        <v>6</v>
      </c>
      <c r="Q45" s="16" t="s">
        <v>12</v>
      </c>
      <c r="R45" s="16" t="s">
        <v>12</v>
      </c>
    </row>
    <row r="46" spans="1:18" ht="30" customHeight="1">
      <c r="A46" s="26" t="s">
        <v>241</v>
      </c>
      <c r="C46" s="294">
        <v>0</v>
      </c>
      <c r="D46" s="27">
        <f>IF(ISERROR(C46/C51),"-",C46/C51)</f>
        <v>0</v>
      </c>
      <c r="E46" s="22"/>
      <c r="F46" s="294">
        <v>0</v>
      </c>
      <c r="G46" s="296">
        <v>0</v>
      </c>
      <c r="H46" s="296">
        <v>0</v>
      </c>
      <c r="I46" s="28">
        <f t="shared" ref="I46:I51" si="3">F46+G46+H46</f>
        <v>0</v>
      </c>
      <c r="J46" s="27">
        <f>IF(ISERROR(I46/I51),"-",I46/I51)</f>
        <v>0</v>
      </c>
      <c r="K46" s="22"/>
      <c r="L46" s="29" t="str">
        <f t="shared" ref="L46:L51" si="4">IF(ISERROR(F46/$C46),"-",F46/$C46)</f>
        <v>-</v>
      </c>
      <c r="M46" s="89" t="str">
        <f t="shared" ref="M46:M51" si="5">IF(ISERROR(G46/$C46),"-",G46/$C46)</f>
        <v>-</v>
      </c>
      <c r="N46" s="89" t="str">
        <f t="shared" ref="N46:N51" si="6">IF(ISERROR(H46/$C46),"-",H46/$C46)</f>
        <v>-</v>
      </c>
      <c r="O46" s="27" t="str">
        <f t="shared" ref="O46:O51" si="7">IF(ISERROR(I46/$C46),"-",I46/$C46)</f>
        <v>-</v>
      </c>
      <c r="Q46" s="294"/>
      <c r="R46" s="27" t="str">
        <f>IF(ISERROR(Q46/Q51),"-",Q46/Q51)</f>
        <v>-</v>
      </c>
    </row>
    <row r="47" spans="1:18" ht="30" customHeight="1">
      <c r="A47" s="32" t="s">
        <v>179</v>
      </c>
      <c r="C47" s="295">
        <v>0</v>
      </c>
      <c r="D47" s="30">
        <f>IF(ISERROR(C47/C51),"-",C47/C51)</f>
        <v>0</v>
      </c>
      <c r="E47" s="22"/>
      <c r="F47" s="295">
        <f>SUM('[1]Expenditure Details '!$AM$6:$AM$17)+SUM('[1]Expenditure Details '!$AM$19:$AM$20)+SUM('[1]Expenditure Details '!$AM$22:$AM$24)</f>
        <v>33133.050000000003</v>
      </c>
      <c r="G47" s="297">
        <v>0</v>
      </c>
      <c r="H47" s="297">
        <v>0</v>
      </c>
      <c r="I47" s="81">
        <f t="shared" si="3"/>
        <v>33133.050000000003</v>
      </c>
      <c r="J47" s="30">
        <f>IF(ISERROR(I47/I51),"-",I47/I51)</f>
        <v>3.0017029585623207E-2</v>
      </c>
      <c r="K47" s="22"/>
      <c r="L47" s="86" t="str">
        <f t="shared" si="4"/>
        <v>-</v>
      </c>
      <c r="M47" s="82" t="str">
        <f t="shared" si="5"/>
        <v>-</v>
      </c>
      <c r="N47" s="82" t="str">
        <f t="shared" si="6"/>
        <v>-</v>
      </c>
      <c r="O47" s="30" t="str">
        <f t="shared" si="7"/>
        <v>-</v>
      </c>
      <c r="Q47" s="295"/>
      <c r="R47" s="30" t="str">
        <f>IF(ISERROR(Q47/Q51),"-",Q47/Q51)</f>
        <v>-</v>
      </c>
    </row>
    <row r="48" spans="1:18" ht="30" customHeight="1">
      <c r="A48" s="32" t="s">
        <v>14</v>
      </c>
      <c r="C48" s="295">
        <f>[2]Weatherization!$V$4 -72000</f>
        <v>979500</v>
      </c>
      <c r="D48" s="30">
        <f>IF(ISERROR(C48/C51),"-",C48/C51)</f>
        <v>0.86719787516600266</v>
      </c>
      <c r="E48" s="22"/>
      <c r="F48" s="295">
        <v>0</v>
      </c>
      <c r="G48" s="297">
        <v>0</v>
      </c>
      <c r="H48" s="297">
        <f>'[1]Expenditure Details '!$AM$18-44927.62</f>
        <v>991306.39</v>
      </c>
      <c r="I48" s="81">
        <f t="shared" si="3"/>
        <v>991306.39</v>
      </c>
      <c r="J48" s="30">
        <f>IF(ISERROR(I48/I51),"-",I48/I51)</f>
        <v>0.89807830058045768</v>
      </c>
      <c r="K48" s="22"/>
      <c r="L48" s="86">
        <f t="shared" si="4"/>
        <v>0</v>
      </c>
      <c r="M48" s="82">
        <f t="shared" si="5"/>
        <v>0</v>
      </c>
      <c r="N48" s="82">
        <f t="shared" si="6"/>
        <v>1.0120534864726902</v>
      </c>
      <c r="O48" s="30">
        <f t="shared" si="7"/>
        <v>1.0120534864726902</v>
      </c>
      <c r="Q48" s="295"/>
      <c r="R48" s="30" t="str">
        <f>IF(ISERROR(Q48/Q51),"-",Q48/Q51)</f>
        <v>-</v>
      </c>
    </row>
    <row r="49" spans="1:18" ht="30" customHeight="1">
      <c r="A49" s="32" t="s">
        <v>15</v>
      </c>
      <c r="C49" s="295">
        <v>0</v>
      </c>
      <c r="D49" s="30">
        <f>IF(ISERROR(C49/C51),"-",C49/C51)</f>
        <v>0</v>
      </c>
      <c r="E49" s="22"/>
      <c r="F49" s="295">
        <v>0</v>
      </c>
      <c r="G49" s="297">
        <v>0</v>
      </c>
      <c r="H49" s="297">
        <v>0</v>
      </c>
      <c r="I49" s="81">
        <f t="shared" si="3"/>
        <v>0</v>
      </c>
      <c r="J49" s="30">
        <f>IF(ISERROR(I49/I51),"-",I49/I51)</f>
        <v>0</v>
      </c>
      <c r="K49" s="22"/>
      <c r="L49" s="86" t="str">
        <f t="shared" si="4"/>
        <v>-</v>
      </c>
      <c r="M49" s="82" t="str">
        <f t="shared" si="5"/>
        <v>-</v>
      </c>
      <c r="N49" s="82" t="str">
        <f t="shared" si="6"/>
        <v>-</v>
      </c>
      <c r="O49" s="30" t="str">
        <f t="shared" si="7"/>
        <v>-</v>
      </c>
      <c r="Q49" s="295"/>
      <c r="R49" s="30" t="str">
        <f>IF(ISERROR(Q49/Q51),"-",Q49/Q51)</f>
        <v>-</v>
      </c>
    </row>
    <row r="50" spans="1:18" ht="30" customHeight="1" thickBot="1">
      <c r="A50" s="33" t="s">
        <v>17</v>
      </c>
      <c r="C50" s="295">
        <f>[2]Budget!$C$31</f>
        <v>150000</v>
      </c>
      <c r="D50" s="30">
        <f>IF(ISERROR(C50/C51),"-",C50/C51)</f>
        <v>0.13280212483399734</v>
      </c>
      <c r="E50" s="22"/>
      <c r="F50" s="295">
        <f>SUM('[1]Expenditure Details '!$AM$25:$AM$32)+'[1]Expenditure Details '!$AM$21</f>
        <v>79368.979999999981</v>
      </c>
      <c r="G50" s="297">
        <v>0</v>
      </c>
      <c r="H50" s="297">
        <v>0</v>
      </c>
      <c r="I50" s="81">
        <f t="shared" si="3"/>
        <v>79368.979999999981</v>
      </c>
      <c r="J50" s="30">
        <f>IF(ISERROR(I50/I51),"-",I50/I51)</f>
        <v>7.1904669833919174E-2</v>
      </c>
      <c r="K50" s="22"/>
      <c r="L50" s="86">
        <f t="shared" si="4"/>
        <v>0.52912653333333326</v>
      </c>
      <c r="M50" s="82">
        <f t="shared" si="5"/>
        <v>0</v>
      </c>
      <c r="N50" s="82">
        <f t="shared" si="6"/>
        <v>0</v>
      </c>
      <c r="O50" s="30">
        <f t="shared" si="7"/>
        <v>0.52912653333333326</v>
      </c>
      <c r="Q50" s="295"/>
      <c r="R50" s="30" t="str">
        <f>IF(ISERROR(Q50/Q51),"-",Q50/Q51)</f>
        <v>-</v>
      </c>
    </row>
    <row r="51" spans="1:18" ht="30" customHeight="1" thickBot="1">
      <c r="A51" s="34" t="s">
        <v>18</v>
      </c>
      <c r="C51" s="83">
        <f>SUM(C46:C50)</f>
        <v>1129500</v>
      </c>
      <c r="D51" s="84">
        <f>SUM(D46:D50)</f>
        <v>1</v>
      </c>
      <c r="E51" s="22"/>
      <c r="F51" s="83">
        <f>SUM(F46:F50)</f>
        <v>112502.02999999998</v>
      </c>
      <c r="G51" s="85">
        <f>SUM(G46:G50)</f>
        <v>0</v>
      </c>
      <c r="H51" s="85">
        <f>SUM(H46:H50)</f>
        <v>991306.39</v>
      </c>
      <c r="I51" s="85">
        <f t="shared" si="3"/>
        <v>1103808.42</v>
      </c>
      <c r="J51" s="84">
        <f>SUM(J46:J50)</f>
        <v>1</v>
      </c>
      <c r="K51" s="22"/>
      <c r="L51" s="87">
        <f t="shared" si="4"/>
        <v>9.9603390880920753E-2</v>
      </c>
      <c r="M51" s="88">
        <f t="shared" si="5"/>
        <v>0</v>
      </c>
      <c r="N51" s="88">
        <f t="shared" si="6"/>
        <v>0.87765063302346169</v>
      </c>
      <c r="O51" s="84">
        <f t="shared" si="7"/>
        <v>0.97725402390438243</v>
      </c>
      <c r="Q51" s="83">
        <f>SUM(Q46:Q50)</f>
        <v>0</v>
      </c>
      <c r="R51" s="84">
        <f>SUM(R46:R50)</f>
        <v>0</v>
      </c>
    </row>
    <row r="52" spans="1:18" ht="13.5" customHeight="1">
      <c r="C52" s="656"/>
      <c r="D52" s="655"/>
      <c r="E52" s="655"/>
      <c r="F52" s="655"/>
      <c r="I52" s="656"/>
    </row>
    <row r="53" spans="1:18" ht="13.5" customHeight="1" thickBot="1">
      <c r="D53" s="657"/>
    </row>
    <row r="54" spans="1:18" ht="15.75" customHeight="1" thickBot="1">
      <c r="A54" s="741" t="s">
        <v>19</v>
      </c>
      <c r="B54" s="3"/>
      <c r="C54" s="743">
        <v>2010</v>
      </c>
      <c r="D54" s="744"/>
      <c r="E54" s="35"/>
      <c r="F54" s="36">
        <v>2011</v>
      </c>
      <c r="G54" s="37"/>
      <c r="H54" s="745" t="s">
        <v>148</v>
      </c>
      <c r="I54" s="746"/>
      <c r="J54" s="747"/>
      <c r="K54" s="37"/>
      <c r="L54" s="37"/>
      <c r="M54" s="37"/>
      <c r="N54" s="37"/>
      <c r="O54" s="37"/>
    </row>
    <row r="55" spans="1:18" ht="13.5" thickBot="1">
      <c r="A55" s="742"/>
      <c r="B55" s="3"/>
      <c r="C55" s="751"/>
      <c r="D55" s="752"/>
      <c r="F55" s="388"/>
      <c r="G55" s="74"/>
      <c r="H55" s="748"/>
      <c r="I55" s="749"/>
      <c r="J55" s="750"/>
      <c r="K55" s="75"/>
      <c r="L55" s="80"/>
      <c r="M55" s="80"/>
    </row>
    <row r="56" spans="1:18" ht="30.75" customHeight="1" thickBot="1">
      <c r="A56" s="38" t="s">
        <v>5</v>
      </c>
      <c r="B56" s="4"/>
      <c r="C56" s="39" t="s">
        <v>20</v>
      </c>
      <c r="D56" s="40" t="s">
        <v>21</v>
      </c>
      <c r="F56" s="41" t="s">
        <v>20</v>
      </c>
      <c r="G56" s="42"/>
      <c r="H56" s="727" t="s">
        <v>70</v>
      </c>
      <c r="I56" s="728"/>
      <c r="J56" s="729"/>
      <c r="K56" s="42"/>
      <c r="L56" s="80"/>
      <c r="M56" s="80"/>
    </row>
    <row r="57" spans="1:18" ht="30" customHeight="1">
      <c r="A57" s="12" t="str">
        <f>$A$27</f>
        <v>Lifetime Demand Savings (kW*Yrs)</v>
      </c>
      <c r="C57" s="650">
        <f>[3]Savings!$C$8</f>
        <v>611</v>
      </c>
      <c r="D57" s="652">
        <f>[4]AR!$E$30</f>
        <v>782.18100000000004</v>
      </c>
      <c r="F57" s="651">
        <f>[3]Savings!$F$8</f>
        <v>305</v>
      </c>
      <c r="G57" s="42"/>
      <c r="H57" s="730" t="s">
        <v>53</v>
      </c>
      <c r="I57" s="731"/>
      <c r="J57" s="307">
        <v>500</v>
      </c>
      <c r="K57" s="42"/>
      <c r="L57" s="43"/>
      <c r="M57" s="654"/>
      <c r="N57" s="654"/>
      <c r="O57" s="654"/>
    </row>
    <row r="58" spans="1:18" ht="30" customHeight="1">
      <c r="A58" s="1" t="str">
        <f>$A$28</f>
        <v>Lifetime Energy Savings (kWh)</v>
      </c>
      <c r="C58" s="300">
        <f>SUM([2]Weatherization!$D$4:$D$29)*1000*66.67%</f>
        <v>20207010.300000001</v>
      </c>
      <c r="D58" s="301">
        <f>[5]Weatherization!$C$39</f>
        <v>25934298</v>
      </c>
      <c r="F58" s="305">
        <f>SUM([2]Weatherization!$D$4:$D$29)*1000-C58</f>
        <v>10101989.699999999</v>
      </c>
      <c r="G58" s="42"/>
      <c r="H58" s="732" t="s">
        <v>46</v>
      </c>
      <c r="I58" s="733"/>
      <c r="J58" s="308">
        <f>[4]AR!$B$30</f>
        <v>699</v>
      </c>
      <c r="K58" s="42"/>
      <c r="L58" s="78"/>
      <c r="M58" s="44"/>
    </row>
    <row r="59" spans="1:18" ht="30" customHeight="1" thickBot="1">
      <c r="A59" s="45" t="s">
        <v>22</v>
      </c>
      <c r="C59" s="302">
        <f>[6]Weatherization!$M$5*66.67%</f>
        <v>3153.8110160000001</v>
      </c>
      <c r="D59" s="303">
        <f>[5]Weatherization!$C$42/1000</f>
        <v>4718.9019291429804</v>
      </c>
      <c r="F59" s="306">
        <f>[6]Weatherization!$M$5-C59</f>
        <v>1576.6689839999995</v>
      </c>
      <c r="H59" s="734" t="s">
        <v>83</v>
      </c>
      <c r="I59" s="735"/>
      <c r="J59" s="309">
        <v>0</v>
      </c>
      <c r="L59" s="653"/>
      <c r="M59" s="42"/>
    </row>
    <row r="61" spans="1:18" ht="13.5" thickBot="1">
      <c r="A61" s="227"/>
      <c r="B61" s="227"/>
      <c r="C61" s="227"/>
      <c r="D61" s="227"/>
      <c r="E61" s="227"/>
      <c r="F61" s="227"/>
      <c r="G61" s="227"/>
      <c r="H61" s="227"/>
      <c r="I61" s="227"/>
      <c r="J61" s="227"/>
      <c r="K61" s="227"/>
      <c r="L61" s="227"/>
      <c r="M61" s="227"/>
      <c r="N61" s="227"/>
      <c r="O61" s="227"/>
      <c r="P61" s="227"/>
      <c r="Q61" s="227"/>
      <c r="R61" s="227"/>
    </row>
    <row r="63" spans="1:18" ht="27.75">
      <c r="A63" s="760" t="str">
        <f>"Energy Efficiency Program Detail - "&amp;C66</f>
        <v>Energy Efficiency Program Detail - Living Wise</v>
      </c>
      <c r="B63" s="761"/>
      <c r="C63" s="761"/>
      <c r="D63" s="761"/>
      <c r="E63" s="761"/>
      <c r="F63" s="761"/>
      <c r="G63" s="761"/>
      <c r="H63" s="761"/>
      <c r="I63" s="761"/>
      <c r="J63" s="761"/>
      <c r="K63" s="761"/>
      <c r="L63" s="761"/>
      <c r="M63" s="761"/>
      <c r="N63" s="761"/>
      <c r="O63" s="761"/>
      <c r="P63" s="761"/>
      <c r="Q63" s="761"/>
      <c r="R63" s="762"/>
    </row>
    <row r="64" spans="1:18">
      <c r="A64" s="17"/>
      <c r="B64" s="17"/>
      <c r="C64" s="17"/>
      <c r="D64" s="17"/>
      <c r="E64" s="17"/>
      <c r="F64" s="17"/>
      <c r="G64" s="17"/>
      <c r="H64" s="17"/>
      <c r="I64" s="17"/>
      <c r="J64" s="17"/>
      <c r="K64" s="17"/>
      <c r="L64" s="17"/>
      <c r="M64" s="17"/>
      <c r="N64" s="17"/>
      <c r="O64" s="17"/>
    </row>
    <row r="65" spans="1:18">
      <c r="A65" s="18"/>
      <c r="B65" s="18"/>
    </row>
    <row r="66" spans="1:18" ht="12.75" customHeight="1">
      <c r="A66" s="19" t="s">
        <v>0</v>
      </c>
      <c r="B66" s="18"/>
      <c r="C66" s="763" t="s">
        <v>367</v>
      </c>
      <c r="D66" s="764"/>
      <c r="E66" s="764"/>
      <c r="F66" s="764"/>
      <c r="G66" s="765"/>
      <c r="H66" s="3" t="s">
        <v>82</v>
      </c>
      <c r="J66" s="766" t="s">
        <v>294</v>
      </c>
      <c r="K66" s="767"/>
      <c r="L66" s="767"/>
      <c r="M66" s="767"/>
      <c r="N66" s="767"/>
      <c r="O66" s="767"/>
      <c r="P66" s="767"/>
      <c r="Q66" s="767"/>
      <c r="R66" s="768"/>
    </row>
    <row r="67" spans="1:18">
      <c r="A67" s="20" t="s">
        <v>1</v>
      </c>
      <c r="B67" s="18"/>
      <c r="C67" s="763" t="s">
        <v>55</v>
      </c>
      <c r="D67" s="764"/>
      <c r="E67" s="764"/>
      <c r="F67" s="764"/>
      <c r="G67" s="765"/>
      <c r="J67" s="769"/>
      <c r="K67" s="770"/>
      <c r="L67" s="770"/>
      <c r="M67" s="770"/>
      <c r="N67" s="770"/>
      <c r="O67" s="770"/>
      <c r="P67" s="770"/>
      <c r="Q67" s="770"/>
      <c r="R67" s="771"/>
    </row>
    <row r="68" spans="1:18">
      <c r="A68" s="20" t="s">
        <v>2</v>
      </c>
      <c r="B68" s="18"/>
      <c r="C68" s="763" t="s">
        <v>158</v>
      </c>
      <c r="D68" s="764"/>
      <c r="E68" s="764"/>
      <c r="F68" s="764"/>
      <c r="G68" s="765"/>
      <c r="J68" s="769"/>
      <c r="K68" s="770"/>
      <c r="L68" s="770"/>
      <c r="M68" s="770"/>
      <c r="N68" s="770"/>
      <c r="O68" s="770"/>
      <c r="P68" s="770"/>
      <c r="Q68" s="770"/>
      <c r="R68" s="771"/>
    </row>
    <row r="69" spans="1:18">
      <c r="A69" s="20" t="s">
        <v>3</v>
      </c>
      <c r="B69" s="18"/>
      <c r="C69" s="763">
        <v>2</v>
      </c>
      <c r="D69" s="764"/>
      <c r="E69" s="764"/>
      <c r="F69" s="764"/>
      <c r="G69" s="765"/>
      <c r="J69" s="772"/>
      <c r="K69" s="773"/>
      <c r="L69" s="773"/>
      <c r="M69" s="773"/>
      <c r="N69" s="773"/>
      <c r="O69" s="773"/>
      <c r="P69" s="773"/>
      <c r="Q69" s="773"/>
      <c r="R69" s="774"/>
    </row>
    <row r="70" spans="1:18">
      <c r="A70" s="18"/>
      <c r="B70" s="18"/>
    </row>
    <row r="71" spans="1:18" ht="13.5" thickBot="1">
      <c r="A71" s="18"/>
      <c r="B71" s="18"/>
    </row>
    <row r="72" spans="1:18" ht="15.75" customHeight="1" thickBot="1">
      <c r="A72" s="758" t="s">
        <v>4</v>
      </c>
      <c r="B72" s="3"/>
      <c r="C72" s="738" t="s">
        <v>144</v>
      </c>
      <c r="D72" s="740"/>
      <c r="E72" s="21"/>
      <c r="F72" s="738" t="s">
        <v>145</v>
      </c>
      <c r="G72" s="739"/>
      <c r="H72" s="739"/>
      <c r="I72" s="739"/>
      <c r="J72" s="740"/>
      <c r="K72" s="22"/>
      <c r="L72" s="738" t="s">
        <v>146</v>
      </c>
      <c r="M72" s="739"/>
      <c r="N72" s="739"/>
      <c r="O72" s="740"/>
      <c r="Q72" s="738" t="s">
        <v>147</v>
      </c>
      <c r="R72" s="740"/>
    </row>
    <row r="73" spans="1:18" ht="13.5" customHeight="1" thickBot="1">
      <c r="A73" s="759"/>
      <c r="B73" s="3"/>
      <c r="C73" s="753"/>
      <c r="D73" s="754"/>
      <c r="E73" s="21"/>
      <c r="F73" s="755"/>
      <c r="G73" s="756"/>
      <c r="H73" s="756"/>
      <c r="I73" s="756"/>
      <c r="J73" s="757"/>
      <c r="K73" s="22"/>
      <c r="L73" s="755"/>
      <c r="M73" s="756"/>
      <c r="N73" s="756"/>
      <c r="O73" s="757"/>
      <c r="Q73" s="753"/>
      <c r="R73" s="754"/>
    </row>
    <row r="74" spans="1:18" ht="13.5" customHeight="1" thickBot="1">
      <c r="A74" s="736" t="s">
        <v>5</v>
      </c>
      <c r="B74" s="3"/>
      <c r="C74" s="14" t="s">
        <v>6</v>
      </c>
      <c r="D74" s="14" t="s">
        <v>7</v>
      </c>
      <c r="E74" s="21"/>
      <c r="F74" s="738" t="s">
        <v>28</v>
      </c>
      <c r="G74" s="739"/>
      <c r="H74" s="739"/>
      <c r="I74" s="14" t="s">
        <v>6</v>
      </c>
      <c r="J74" s="14" t="s">
        <v>7</v>
      </c>
      <c r="K74" s="22"/>
      <c r="L74" s="738" t="s">
        <v>8</v>
      </c>
      <c r="M74" s="739"/>
      <c r="N74" s="739"/>
      <c r="O74" s="740"/>
      <c r="Q74" s="14" t="s">
        <v>6</v>
      </c>
      <c r="R74" s="14" t="s">
        <v>7</v>
      </c>
    </row>
    <row r="75" spans="1:18" ht="13.5" customHeight="1" thickBot="1">
      <c r="A75" s="737"/>
      <c r="B75" s="4"/>
      <c r="C75" s="16" t="s">
        <v>12</v>
      </c>
      <c r="D75" s="16" t="s">
        <v>12</v>
      </c>
      <c r="E75" s="23"/>
      <c r="F75" s="16" t="s">
        <v>9</v>
      </c>
      <c r="G75" s="24" t="s">
        <v>10</v>
      </c>
      <c r="H75" s="25" t="s">
        <v>11</v>
      </c>
      <c r="I75" s="16" t="s">
        <v>13</v>
      </c>
      <c r="J75" s="16" t="s">
        <v>13</v>
      </c>
      <c r="K75" s="22"/>
      <c r="L75" s="16" t="s">
        <v>9</v>
      </c>
      <c r="M75" s="24" t="s">
        <v>10</v>
      </c>
      <c r="N75" s="25" t="s">
        <v>11</v>
      </c>
      <c r="O75" s="15" t="s">
        <v>6</v>
      </c>
      <c r="Q75" s="16" t="s">
        <v>12</v>
      </c>
      <c r="R75" s="16" t="s">
        <v>12</v>
      </c>
    </row>
    <row r="76" spans="1:18" ht="30" customHeight="1">
      <c r="A76" s="26" t="s">
        <v>241</v>
      </c>
      <c r="C76" s="294">
        <v>0</v>
      </c>
      <c r="D76" s="27">
        <f>IF(ISERROR(C76/C81),"-",C76/C81)</f>
        <v>0</v>
      </c>
      <c r="E76" s="22"/>
      <c r="F76" s="294">
        <v>0</v>
      </c>
      <c r="G76" s="296">
        <v>0</v>
      </c>
      <c r="H76" s="296">
        <v>0</v>
      </c>
      <c r="I76" s="28">
        <f t="shared" ref="I76:I81" si="8">F76+G76+H76</f>
        <v>0</v>
      </c>
      <c r="J76" s="27">
        <f>IF(ISERROR(I76/I81),"-",I76/I81)</f>
        <v>0</v>
      </c>
      <c r="K76" s="22"/>
      <c r="L76" s="29" t="str">
        <f t="shared" ref="L76:L81" si="9">IF(ISERROR(F76/$C76),"-",F76/$C76)</f>
        <v>-</v>
      </c>
      <c r="M76" s="89" t="str">
        <f t="shared" ref="M76:M81" si="10">IF(ISERROR(G76/$C76),"-",G76/$C76)</f>
        <v>-</v>
      </c>
      <c r="N76" s="89" t="str">
        <f t="shared" ref="N76:N81" si="11">IF(ISERROR(H76/$C76),"-",H76/$C76)</f>
        <v>-</v>
      </c>
      <c r="O76" s="27" t="str">
        <f t="shared" ref="O76:O81" si="12">IF(ISERROR(I76/$C76),"-",I76/$C76)</f>
        <v>-</v>
      </c>
      <c r="Q76" s="294"/>
      <c r="R76" s="27" t="str">
        <f>IF(ISERROR(Q76/Q81),"-",Q76/Q81)</f>
        <v>-</v>
      </c>
    </row>
    <row r="77" spans="1:18" ht="30" customHeight="1">
      <c r="A77" s="32" t="s">
        <v>385</v>
      </c>
      <c r="C77" s="295">
        <f>'[3]Living Wise'!$Z$4</f>
        <v>51000</v>
      </c>
      <c r="D77" s="30">
        <f>IF(ISERROR(C77/C81),"-",C77/C81)</f>
        <v>0.83606557377049184</v>
      </c>
      <c r="E77" s="22"/>
      <c r="F77" s="295">
        <f>SUM('[1]Expenditure Details '!$AM$38:$AM$49)+SUM('[1]Expenditure Details '!$AM$51:$AM$52)+SUM('[1]Expenditure Details '!$AM$54:$AM$56)+'[1]Expenditure Details '!$AM$50</f>
        <v>47866.63</v>
      </c>
      <c r="G77" s="297">
        <v>0</v>
      </c>
      <c r="H77" s="297">
        <v>0</v>
      </c>
      <c r="I77" s="81">
        <f t="shared" si="8"/>
        <v>47866.63</v>
      </c>
      <c r="J77" s="30">
        <f>IF(ISERROR(I77/I81),"-",I77/I81)</f>
        <v>0.96886656895680312</v>
      </c>
      <c r="K77" s="22"/>
      <c r="L77" s="86">
        <f t="shared" si="9"/>
        <v>0.9385613725490195</v>
      </c>
      <c r="M77" s="82">
        <f t="shared" si="10"/>
        <v>0</v>
      </c>
      <c r="N77" s="82">
        <f t="shared" si="11"/>
        <v>0</v>
      </c>
      <c r="O77" s="30">
        <f t="shared" si="12"/>
        <v>0.9385613725490195</v>
      </c>
      <c r="Q77" s="295"/>
      <c r="R77" s="30" t="str">
        <f>IF(ISERROR(Q77/Q81),"-",Q77/Q81)</f>
        <v>-</v>
      </c>
    </row>
    <row r="78" spans="1:18" ht="30" customHeight="1">
      <c r="A78" s="32" t="s">
        <v>14</v>
      </c>
      <c r="C78" s="717">
        <v>0</v>
      </c>
      <c r="D78" s="30">
        <f>IF(ISERROR(C78/C81),"-",C78/C81)</f>
        <v>0</v>
      </c>
      <c r="E78" s="22"/>
      <c r="F78" s="295">
        <v>0</v>
      </c>
      <c r="G78" s="297">
        <v>0</v>
      </c>
      <c r="H78" s="297">
        <v>0</v>
      </c>
      <c r="I78" s="81">
        <f t="shared" si="8"/>
        <v>0</v>
      </c>
      <c r="J78" s="30">
        <f>IF(ISERROR(I78/I81),"-",I78/I81)</f>
        <v>0</v>
      </c>
      <c r="K78" s="22"/>
      <c r="L78" s="86" t="str">
        <f t="shared" si="9"/>
        <v>-</v>
      </c>
      <c r="M78" s="82" t="str">
        <f t="shared" si="10"/>
        <v>-</v>
      </c>
      <c r="N78" s="82" t="str">
        <f t="shared" si="11"/>
        <v>-</v>
      </c>
      <c r="O78" s="30" t="str">
        <f t="shared" si="12"/>
        <v>-</v>
      </c>
      <c r="Q78" s="295"/>
      <c r="R78" s="30" t="str">
        <f>IF(ISERROR(Q78/Q81),"-",Q78/Q81)</f>
        <v>-</v>
      </c>
    </row>
    <row r="79" spans="1:18" ht="30" customHeight="1">
      <c r="A79" s="32" t="s">
        <v>15</v>
      </c>
      <c r="C79" s="295">
        <v>0</v>
      </c>
      <c r="D79" s="30">
        <f>IF(ISERROR(C79/C81),"-",C79/C81)</f>
        <v>0</v>
      </c>
      <c r="E79" s="22"/>
      <c r="F79" s="295">
        <v>0</v>
      </c>
      <c r="G79" s="297">
        <v>0</v>
      </c>
      <c r="H79" s="297">
        <v>0</v>
      </c>
      <c r="I79" s="81">
        <f t="shared" si="8"/>
        <v>0</v>
      </c>
      <c r="J79" s="30">
        <f>IF(ISERROR(I79/I81),"-",I79/I81)</f>
        <v>0</v>
      </c>
      <c r="K79" s="22"/>
      <c r="L79" s="86" t="str">
        <f t="shared" si="9"/>
        <v>-</v>
      </c>
      <c r="M79" s="82" t="str">
        <f t="shared" si="10"/>
        <v>-</v>
      </c>
      <c r="N79" s="82" t="str">
        <f t="shared" si="11"/>
        <v>-</v>
      </c>
      <c r="O79" s="30" t="str">
        <f t="shared" si="12"/>
        <v>-</v>
      </c>
      <c r="Q79" s="295"/>
      <c r="R79" s="30" t="str">
        <f>IF(ISERROR(Q79/Q81),"-",Q79/Q81)</f>
        <v>-</v>
      </c>
    </row>
    <row r="80" spans="1:18" ht="30" customHeight="1" thickBot="1">
      <c r="A80" s="33" t="s">
        <v>17</v>
      </c>
      <c r="C80" s="295">
        <f>'[3]Living Wise'!$AB$4</f>
        <v>10000</v>
      </c>
      <c r="D80" s="30">
        <f>IF(ISERROR(C80/C81),"-",C80/C81)</f>
        <v>0.16393442622950818</v>
      </c>
      <c r="E80" s="22"/>
      <c r="F80" s="295">
        <f>SUM('[1]Expenditure Details '!$AM$57:$AM$64)+'[1]Expenditure Details '!$AM$53</f>
        <v>1538.1399999999996</v>
      </c>
      <c r="G80" s="297">
        <v>0</v>
      </c>
      <c r="H80" s="297">
        <v>0</v>
      </c>
      <c r="I80" s="81">
        <f t="shared" si="8"/>
        <v>1538.1399999999996</v>
      </c>
      <c r="J80" s="30">
        <f>IF(ISERROR(I80/I81),"-",I80/I81)</f>
        <v>3.1133431043196835E-2</v>
      </c>
      <c r="K80" s="22"/>
      <c r="L80" s="86">
        <f t="shared" si="9"/>
        <v>0.15381399999999995</v>
      </c>
      <c r="M80" s="82">
        <f t="shared" si="10"/>
        <v>0</v>
      </c>
      <c r="N80" s="82">
        <f t="shared" si="11"/>
        <v>0</v>
      </c>
      <c r="O80" s="30">
        <f t="shared" si="12"/>
        <v>0.15381399999999995</v>
      </c>
      <c r="Q80" s="295"/>
      <c r="R80" s="30" t="str">
        <f>IF(ISERROR(Q80/Q81),"-",Q80/Q81)</f>
        <v>-</v>
      </c>
    </row>
    <row r="81" spans="1:18" ht="30" customHeight="1" thickBot="1">
      <c r="A81" s="34" t="s">
        <v>18</v>
      </c>
      <c r="C81" s="83">
        <f>SUM(C76:C80)</f>
        <v>61000</v>
      </c>
      <c r="D81" s="84">
        <f>SUM(D76:D80)</f>
        <v>1</v>
      </c>
      <c r="E81" s="22"/>
      <c r="F81" s="83">
        <f>SUM(F76:F80)</f>
        <v>49404.77</v>
      </c>
      <c r="G81" s="85">
        <f>SUM(G76:G80)</f>
        <v>0</v>
      </c>
      <c r="H81" s="85">
        <f>SUM(H76:H80)</f>
        <v>0</v>
      </c>
      <c r="I81" s="85">
        <f t="shared" si="8"/>
        <v>49404.77</v>
      </c>
      <c r="J81" s="84">
        <f>SUM(J76:J80)</f>
        <v>1</v>
      </c>
      <c r="K81" s="22"/>
      <c r="L81" s="87">
        <f t="shared" si="9"/>
        <v>0.8099142622950819</v>
      </c>
      <c r="M81" s="88">
        <f t="shared" si="10"/>
        <v>0</v>
      </c>
      <c r="N81" s="88">
        <f t="shared" si="11"/>
        <v>0</v>
      </c>
      <c r="O81" s="84">
        <f t="shared" si="12"/>
        <v>0.8099142622950819</v>
      </c>
      <c r="Q81" s="83">
        <f>SUM(Q76:Q80)</f>
        <v>0</v>
      </c>
      <c r="R81" s="84">
        <f>SUM(R76:R80)</f>
        <v>0</v>
      </c>
    </row>
    <row r="82" spans="1:18" ht="13.5" customHeight="1"/>
    <row r="83" spans="1:18" ht="13.5" customHeight="1" thickBot="1"/>
    <row r="84" spans="1:18" ht="15.75" customHeight="1" thickBot="1">
      <c r="A84" s="741" t="s">
        <v>19</v>
      </c>
      <c r="B84" s="3"/>
      <c r="C84" s="743">
        <v>2010</v>
      </c>
      <c r="D84" s="744"/>
      <c r="E84" s="35"/>
      <c r="F84" s="36">
        <v>2011</v>
      </c>
      <c r="G84" s="37"/>
      <c r="H84" s="745" t="s">
        <v>148</v>
      </c>
      <c r="I84" s="746"/>
      <c r="J84" s="747"/>
      <c r="K84" s="37"/>
      <c r="L84" s="37"/>
      <c r="M84" s="37"/>
      <c r="N84" s="37"/>
      <c r="O84" s="37"/>
    </row>
    <row r="85" spans="1:18" ht="13.5" thickBot="1">
      <c r="A85" s="742"/>
      <c r="B85" s="3"/>
      <c r="C85" s="751"/>
      <c r="D85" s="752"/>
      <c r="F85" s="388"/>
      <c r="G85" s="74"/>
      <c r="H85" s="748"/>
      <c r="I85" s="749"/>
      <c r="J85" s="750"/>
      <c r="K85" s="75"/>
      <c r="L85" s="80"/>
      <c r="M85" s="37"/>
      <c r="N85" s="37"/>
      <c r="O85" s="37"/>
    </row>
    <row r="86" spans="1:18" ht="30.75" customHeight="1" thickBot="1">
      <c r="A86" s="38" t="s">
        <v>5</v>
      </c>
      <c r="B86" s="4"/>
      <c r="C86" s="39" t="s">
        <v>20</v>
      </c>
      <c r="D86" s="40" t="s">
        <v>21</v>
      </c>
      <c r="F86" s="41" t="s">
        <v>20</v>
      </c>
      <c r="G86" s="42"/>
      <c r="H86" s="727" t="s">
        <v>70</v>
      </c>
      <c r="I86" s="728"/>
      <c r="J86" s="729"/>
      <c r="K86" s="42"/>
      <c r="L86" s="80"/>
      <c r="M86" s="37"/>
      <c r="N86" s="37"/>
      <c r="O86" s="37"/>
    </row>
    <row r="87" spans="1:18" ht="30" customHeight="1">
      <c r="A87" s="12" t="str">
        <f>$A$27</f>
        <v>Lifetime Demand Savings (kW*Yrs)</v>
      </c>
      <c r="C87" s="298">
        <f>[3]Savings!$C$10</f>
        <v>11</v>
      </c>
      <c r="D87" s="721">
        <f>[7]AR!$E$47*'[5]Living Wise'!$G$58</f>
        <v>11.101021077465752</v>
      </c>
      <c r="F87" s="304">
        <f>[3]Savings!$F$10</f>
        <v>5</v>
      </c>
      <c r="G87" s="42"/>
      <c r="H87" s="730" t="s">
        <v>53</v>
      </c>
      <c r="I87" s="731"/>
      <c r="J87" s="307">
        <f>'[3]Living Wise'!$AO$12</f>
        <v>1200</v>
      </c>
      <c r="K87" s="42"/>
      <c r="L87" s="43"/>
      <c r="M87" s="37"/>
      <c r="N87" s="37"/>
      <c r="O87" s="37"/>
    </row>
    <row r="88" spans="1:18" ht="30" customHeight="1">
      <c r="A88" s="1" t="str">
        <f>$A$28</f>
        <v>Lifetime Energy Savings (kWh)</v>
      </c>
      <c r="C88" s="300">
        <f>SUM('[3]Living Wise'!$R$4:$R$29)*66.57%</f>
        <v>1156820.1749999998</v>
      </c>
      <c r="D88" s="308">
        <f>'[5]Living Wise'!$C$39*'[5]Living Wise'!$G$58</f>
        <v>213681.92098496083</v>
      </c>
      <c r="F88" s="305">
        <f>SUM('[3]Living Wise'!$R$4:$R$29)-C88</f>
        <v>580929.82500000019</v>
      </c>
      <c r="G88" s="42"/>
      <c r="H88" s="732" t="s">
        <v>46</v>
      </c>
      <c r="I88" s="733"/>
      <c r="J88" s="308">
        <f>[7]AR!$B$47</f>
        <v>1199</v>
      </c>
      <c r="K88" s="42"/>
      <c r="L88" s="78"/>
      <c r="M88" s="37"/>
      <c r="N88" s="37"/>
      <c r="O88" s="37"/>
    </row>
    <row r="89" spans="1:18" ht="30" customHeight="1" thickBot="1">
      <c r="A89" s="45" t="s">
        <v>22</v>
      </c>
      <c r="C89" s="302">
        <f>'[6]Living Wise'!$M$5*66.67%</f>
        <v>19.680984000000002</v>
      </c>
      <c r="D89" s="303">
        <f>'[5]Living Wise'!$C$42/1000</f>
        <v>61.445158443831211</v>
      </c>
      <c r="E89" s="654"/>
      <c r="F89" s="306">
        <f>'[6]Living Wise'!$M$5-C89</f>
        <v>9.8390159999999973</v>
      </c>
      <c r="H89" s="734" t="s">
        <v>83</v>
      </c>
      <c r="I89" s="735"/>
      <c r="J89" s="309">
        <v>0</v>
      </c>
      <c r="L89" s="79"/>
      <c r="M89" s="37"/>
      <c r="N89" s="37"/>
      <c r="O89" s="37"/>
    </row>
    <row r="91" spans="1:18" ht="13.5" thickBot="1">
      <c r="A91" s="227"/>
      <c r="B91" s="227"/>
      <c r="C91" s="227"/>
      <c r="D91" s="227"/>
      <c r="E91" s="227"/>
      <c r="F91" s="227"/>
      <c r="G91" s="227"/>
      <c r="H91" s="227"/>
      <c r="I91" s="227"/>
      <c r="J91" s="227"/>
      <c r="K91" s="227"/>
      <c r="L91" s="227"/>
      <c r="M91" s="227"/>
      <c r="N91" s="227"/>
      <c r="O91" s="227"/>
      <c r="P91" s="227"/>
      <c r="Q91" s="227"/>
      <c r="R91" s="227"/>
    </row>
    <row r="93" spans="1:18" ht="27.75">
      <c r="A93" s="760" t="str">
        <f>"Energy Efficiency Program Detail - "&amp;C96</f>
        <v>Energy Efficiency Program Detail - CER</v>
      </c>
      <c r="B93" s="761"/>
      <c r="C93" s="761"/>
      <c r="D93" s="761"/>
      <c r="E93" s="761"/>
      <c r="F93" s="761"/>
      <c r="G93" s="761"/>
      <c r="H93" s="761"/>
      <c r="I93" s="761"/>
      <c r="J93" s="761"/>
      <c r="K93" s="761"/>
      <c r="L93" s="761"/>
      <c r="M93" s="761"/>
      <c r="N93" s="761"/>
      <c r="O93" s="761"/>
      <c r="P93" s="761"/>
      <c r="Q93" s="761"/>
      <c r="R93" s="762"/>
    </row>
    <row r="94" spans="1:18">
      <c r="A94" s="17"/>
      <c r="B94" s="17"/>
      <c r="C94" s="17"/>
      <c r="D94" s="17"/>
      <c r="E94" s="17"/>
      <c r="F94" s="17"/>
      <c r="G94" s="17"/>
      <c r="H94" s="17"/>
      <c r="I94" s="17"/>
      <c r="J94" s="17"/>
      <c r="K94" s="17"/>
      <c r="L94" s="17"/>
      <c r="M94" s="17"/>
      <c r="N94" s="17"/>
      <c r="O94" s="17"/>
    </row>
    <row r="95" spans="1:18">
      <c r="A95" s="18"/>
      <c r="B95" s="18"/>
    </row>
    <row r="96" spans="1:18" ht="12.75" customHeight="1">
      <c r="A96" s="19" t="s">
        <v>0</v>
      </c>
      <c r="B96" s="18"/>
      <c r="C96" s="763" t="s">
        <v>366</v>
      </c>
      <c r="D96" s="764"/>
      <c r="E96" s="764"/>
      <c r="F96" s="764"/>
      <c r="G96" s="765"/>
      <c r="H96" s="3" t="s">
        <v>82</v>
      </c>
      <c r="J96" s="766" t="s">
        <v>296</v>
      </c>
      <c r="K96" s="767"/>
      <c r="L96" s="767"/>
      <c r="M96" s="767"/>
      <c r="N96" s="767"/>
      <c r="O96" s="767"/>
      <c r="P96" s="767"/>
      <c r="Q96" s="767"/>
      <c r="R96" s="768"/>
    </row>
    <row r="97" spans="1:18">
      <c r="A97" s="20" t="s">
        <v>1</v>
      </c>
      <c r="B97" s="18"/>
      <c r="C97" s="763" t="s">
        <v>56</v>
      </c>
      <c r="D97" s="764"/>
      <c r="E97" s="764"/>
      <c r="F97" s="764"/>
      <c r="G97" s="765"/>
      <c r="J97" s="769"/>
      <c r="K97" s="770"/>
      <c r="L97" s="770"/>
      <c r="M97" s="770"/>
      <c r="N97" s="770"/>
      <c r="O97" s="770"/>
      <c r="P97" s="770"/>
      <c r="Q97" s="770"/>
      <c r="R97" s="771"/>
    </row>
    <row r="98" spans="1:18">
      <c r="A98" s="20" t="s">
        <v>2</v>
      </c>
      <c r="B98" s="18"/>
      <c r="C98" s="763" t="s">
        <v>158</v>
      </c>
      <c r="D98" s="764"/>
      <c r="E98" s="764"/>
      <c r="F98" s="764"/>
      <c r="G98" s="765"/>
      <c r="J98" s="769"/>
      <c r="K98" s="770"/>
      <c r="L98" s="770"/>
      <c r="M98" s="770"/>
      <c r="N98" s="770"/>
      <c r="O98" s="770"/>
      <c r="P98" s="770"/>
      <c r="Q98" s="770"/>
      <c r="R98" s="771"/>
    </row>
    <row r="99" spans="1:18">
      <c r="A99" s="20" t="s">
        <v>3</v>
      </c>
      <c r="B99" s="18"/>
      <c r="C99" s="763">
        <v>3</v>
      </c>
      <c r="D99" s="764"/>
      <c r="E99" s="764"/>
      <c r="F99" s="764"/>
      <c r="G99" s="765"/>
      <c r="J99" s="772"/>
      <c r="K99" s="773"/>
      <c r="L99" s="773"/>
      <c r="M99" s="773"/>
      <c r="N99" s="773"/>
      <c r="O99" s="773"/>
      <c r="P99" s="773"/>
      <c r="Q99" s="773"/>
      <c r="R99" s="774"/>
    </row>
    <row r="100" spans="1:18">
      <c r="A100" s="18"/>
      <c r="B100" s="18"/>
    </row>
    <row r="101" spans="1:18" ht="13.5" thickBot="1">
      <c r="A101" s="18"/>
      <c r="B101" s="18"/>
    </row>
    <row r="102" spans="1:18" ht="15.75" customHeight="1" thickBot="1">
      <c r="A102" s="758" t="s">
        <v>4</v>
      </c>
      <c r="B102" s="3"/>
      <c r="C102" s="738" t="s">
        <v>144</v>
      </c>
      <c r="D102" s="740"/>
      <c r="E102" s="21"/>
      <c r="F102" s="738" t="s">
        <v>145</v>
      </c>
      <c r="G102" s="739"/>
      <c r="H102" s="739"/>
      <c r="I102" s="739"/>
      <c r="J102" s="740"/>
      <c r="K102" s="22"/>
      <c r="L102" s="738" t="s">
        <v>146</v>
      </c>
      <c r="M102" s="739"/>
      <c r="N102" s="739"/>
      <c r="O102" s="740"/>
      <c r="Q102" s="738" t="s">
        <v>147</v>
      </c>
      <c r="R102" s="740"/>
    </row>
    <row r="103" spans="1:18" ht="13.5" customHeight="1" thickBot="1">
      <c r="A103" s="759"/>
      <c r="B103" s="3"/>
      <c r="C103" s="753"/>
      <c r="D103" s="754"/>
      <c r="E103" s="21"/>
      <c r="F103" s="755"/>
      <c r="G103" s="756"/>
      <c r="H103" s="756"/>
      <c r="I103" s="756"/>
      <c r="J103" s="757"/>
      <c r="K103" s="22"/>
      <c r="L103" s="755"/>
      <c r="M103" s="756"/>
      <c r="N103" s="756"/>
      <c r="O103" s="757"/>
      <c r="Q103" s="753"/>
      <c r="R103" s="754"/>
    </row>
    <row r="104" spans="1:18" ht="13.5" customHeight="1" thickBot="1">
      <c r="A104" s="736" t="s">
        <v>5</v>
      </c>
      <c r="B104" s="3"/>
      <c r="C104" s="14" t="s">
        <v>6</v>
      </c>
      <c r="D104" s="14" t="s">
        <v>7</v>
      </c>
      <c r="E104" s="21"/>
      <c r="F104" s="738" t="s">
        <v>28</v>
      </c>
      <c r="G104" s="739"/>
      <c r="H104" s="739"/>
      <c r="I104" s="14" t="s">
        <v>6</v>
      </c>
      <c r="J104" s="14" t="s">
        <v>7</v>
      </c>
      <c r="K104" s="22"/>
      <c r="L104" s="738" t="s">
        <v>8</v>
      </c>
      <c r="M104" s="739"/>
      <c r="N104" s="739"/>
      <c r="O104" s="740"/>
      <c r="Q104" s="14" t="s">
        <v>6</v>
      </c>
      <c r="R104" s="14" t="s">
        <v>7</v>
      </c>
    </row>
    <row r="105" spans="1:18" ht="13.5" customHeight="1" thickBot="1">
      <c r="A105" s="737"/>
      <c r="B105" s="4"/>
      <c r="C105" s="16" t="s">
        <v>12</v>
      </c>
      <c r="D105" s="16" t="s">
        <v>12</v>
      </c>
      <c r="E105" s="23"/>
      <c r="F105" s="16" t="s">
        <v>9</v>
      </c>
      <c r="G105" s="24" t="s">
        <v>10</v>
      </c>
      <c r="H105" s="25" t="s">
        <v>11</v>
      </c>
      <c r="I105" s="16" t="s">
        <v>13</v>
      </c>
      <c r="J105" s="16" t="s">
        <v>13</v>
      </c>
      <c r="K105" s="22"/>
      <c r="L105" s="16" t="s">
        <v>9</v>
      </c>
      <c r="M105" s="24" t="s">
        <v>10</v>
      </c>
      <c r="N105" s="25" t="s">
        <v>11</v>
      </c>
      <c r="O105" s="15" t="s">
        <v>6</v>
      </c>
      <c r="Q105" s="16" t="s">
        <v>12</v>
      </c>
      <c r="R105" s="16" t="s">
        <v>12</v>
      </c>
    </row>
    <row r="106" spans="1:18" ht="30" customHeight="1">
      <c r="A106" s="26" t="s">
        <v>241</v>
      </c>
      <c r="C106" s="294">
        <v>0</v>
      </c>
      <c r="D106" s="27">
        <f>IF(ISERROR(C106/C111),"-",C106/C111)</f>
        <v>0</v>
      </c>
      <c r="E106" s="22"/>
      <c r="F106" s="294">
        <v>0</v>
      </c>
      <c r="G106" s="296">
        <v>0</v>
      </c>
      <c r="H106" s="296">
        <v>0</v>
      </c>
      <c r="I106" s="28">
        <f t="shared" ref="I106:I111" si="13">F106+G106+H106</f>
        <v>0</v>
      </c>
      <c r="J106" s="27">
        <f>IF(ISERROR(I106/I111),"-",I106/I111)</f>
        <v>0</v>
      </c>
      <c r="K106" s="22"/>
      <c r="L106" s="29" t="str">
        <f t="shared" ref="L106:L111" si="14">IF(ISERROR(F106/$C106),"-",F106/$C106)</f>
        <v>-</v>
      </c>
      <c r="M106" s="89" t="str">
        <f t="shared" ref="M106:M111" si="15">IF(ISERROR(G106/$C106),"-",G106/$C106)</f>
        <v>-</v>
      </c>
      <c r="N106" s="89" t="str">
        <f t="shared" ref="N106:N111" si="16">IF(ISERROR(H106/$C106),"-",H106/$C106)</f>
        <v>-</v>
      </c>
      <c r="O106" s="27" t="str">
        <f t="shared" ref="O106:O111" si="17">IF(ISERROR(I106/$C106),"-",I106/$C106)</f>
        <v>-</v>
      </c>
      <c r="Q106" s="294"/>
      <c r="R106" s="27" t="str">
        <f>IF(ISERROR(Q106/Q111),"-",Q106/Q111)</f>
        <v>-</v>
      </c>
    </row>
    <row r="107" spans="1:18" ht="30" customHeight="1">
      <c r="A107" s="32" t="s">
        <v>179</v>
      </c>
      <c r="C107" s="717">
        <f>[3]Budget!$C$13-[3]Budget!$C$35</f>
        <v>4500</v>
      </c>
      <c r="D107" s="30">
        <f>IF(ISERROR(C107/C111),"-",C107/C111)</f>
        <v>0.6428571428571429</v>
      </c>
      <c r="E107" s="22"/>
      <c r="F107" s="295">
        <v>0</v>
      </c>
      <c r="G107" s="297">
        <v>0</v>
      </c>
      <c r="H107" s="297">
        <v>0</v>
      </c>
      <c r="I107" s="81">
        <f t="shared" si="13"/>
        <v>0</v>
      </c>
      <c r="J107" s="30">
        <f>IF(ISERROR(I107/I111),"-",I107/I111)</f>
        <v>0</v>
      </c>
      <c r="K107" s="22"/>
      <c r="L107" s="86">
        <f t="shared" si="14"/>
        <v>0</v>
      </c>
      <c r="M107" s="82">
        <f t="shared" si="15"/>
        <v>0</v>
      </c>
      <c r="N107" s="82">
        <f t="shared" si="16"/>
        <v>0</v>
      </c>
      <c r="O107" s="30">
        <f t="shared" si="17"/>
        <v>0</v>
      </c>
      <c r="Q107" s="295"/>
      <c r="R107" s="30" t="str">
        <f>IF(ISERROR(Q107/Q111),"-",Q107/Q111)</f>
        <v>-</v>
      </c>
    </row>
    <row r="108" spans="1:18" ht="30" customHeight="1">
      <c r="A108" s="32" t="s">
        <v>14</v>
      </c>
      <c r="C108" s="295">
        <v>0</v>
      </c>
      <c r="D108" s="30">
        <f>IF(ISERROR(C108/C111),"-",C108/C111)</f>
        <v>0</v>
      </c>
      <c r="E108" s="22"/>
      <c r="F108" s="295">
        <v>0</v>
      </c>
      <c r="G108" s="297">
        <v>0</v>
      </c>
      <c r="H108" s="297">
        <v>0</v>
      </c>
      <c r="I108" s="81">
        <f t="shared" si="13"/>
        <v>0</v>
      </c>
      <c r="J108" s="30">
        <f>IF(ISERROR(I108/I111),"-",I108/I111)</f>
        <v>0</v>
      </c>
      <c r="K108" s="22"/>
      <c r="L108" s="86" t="str">
        <f t="shared" si="14"/>
        <v>-</v>
      </c>
      <c r="M108" s="82" t="str">
        <f t="shared" si="15"/>
        <v>-</v>
      </c>
      <c r="N108" s="82" t="str">
        <f t="shared" si="16"/>
        <v>-</v>
      </c>
      <c r="O108" s="30" t="str">
        <f t="shared" si="17"/>
        <v>-</v>
      </c>
      <c r="Q108" s="295"/>
      <c r="R108" s="30" t="str">
        <f>IF(ISERROR(Q108/Q111),"-",Q108/Q111)</f>
        <v>-</v>
      </c>
    </row>
    <row r="109" spans="1:18" ht="30" customHeight="1">
      <c r="A109" s="32" t="s">
        <v>15</v>
      </c>
      <c r="C109" s="295">
        <v>0</v>
      </c>
      <c r="D109" s="30">
        <f>IF(ISERROR(C109/C111),"-",C109/C111)</f>
        <v>0</v>
      </c>
      <c r="E109" s="22"/>
      <c r="F109" s="295">
        <v>0</v>
      </c>
      <c r="G109" s="297">
        <v>0</v>
      </c>
      <c r="H109" s="297">
        <v>0</v>
      </c>
      <c r="I109" s="81">
        <f t="shared" si="13"/>
        <v>0</v>
      </c>
      <c r="J109" s="30">
        <f>IF(ISERROR(I109/I111),"-",I109/I111)</f>
        <v>0</v>
      </c>
      <c r="K109" s="22"/>
      <c r="L109" s="86" t="str">
        <f t="shared" si="14"/>
        <v>-</v>
      </c>
      <c r="M109" s="82" t="str">
        <f t="shared" si="15"/>
        <v>-</v>
      </c>
      <c r="N109" s="82" t="str">
        <f t="shared" si="16"/>
        <v>-</v>
      </c>
      <c r="O109" s="30" t="str">
        <f t="shared" si="17"/>
        <v>-</v>
      </c>
      <c r="Q109" s="295"/>
      <c r="R109" s="30" t="str">
        <f>IF(ISERROR(Q109/Q111),"-",Q109/Q111)</f>
        <v>-</v>
      </c>
    </row>
    <row r="110" spans="1:18" ht="30" customHeight="1" thickBot="1">
      <c r="A110" s="33" t="s">
        <v>17</v>
      </c>
      <c r="C110" s="295">
        <f>[3]Budget!$C$35</f>
        <v>2500</v>
      </c>
      <c r="D110" s="30">
        <f>IF(ISERROR(C110/C111),"-",C110/C111)</f>
        <v>0.35714285714285715</v>
      </c>
      <c r="E110" s="22"/>
      <c r="F110" s="295">
        <f>'[1]Expenditure Details '!$AM$89</f>
        <v>60.87</v>
      </c>
      <c r="G110" s="297">
        <v>0</v>
      </c>
      <c r="H110" s="297">
        <v>0</v>
      </c>
      <c r="I110" s="81">
        <v>0</v>
      </c>
      <c r="J110" s="30">
        <f>IF(ISERROR(I110/I111),"-",I110/I111)</f>
        <v>0</v>
      </c>
      <c r="K110" s="22"/>
      <c r="L110" s="86">
        <f t="shared" si="14"/>
        <v>2.4347999999999998E-2</v>
      </c>
      <c r="M110" s="82">
        <f t="shared" si="15"/>
        <v>0</v>
      </c>
      <c r="N110" s="82">
        <f t="shared" si="16"/>
        <v>0</v>
      </c>
      <c r="O110" s="30">
        <f t="shared" si="17"/>
        <v>0</v>
      </c>
      <c r="Q110" s="295"/>
      <c r="R110" s="30" t="str">
        <f>IF(ISERROR(Q110/Q111),"-",Q110/Q111)</f>
        <v>-</v>
      </c>
    </row>
    <row r="111" spans="1:18" ht="30" customHeight="1" thickBot="1">
      <c r="A111" s="34" t="s">
        <v>18</v>
      </c>
      <c r="C111" s="83">
        <f>SUM(C106:C110)</f>
        <v>7000</v>
      </c>
      <c r="D111" s="84">
        <f>SUM(D106:D110)</f>
        <v>1</v>
      </c>
      <c r="E111" s="22"/>
      <c r="F111" s="83">
        <f>SUM(F106:F110)</f>
        <v>60.87</v>
      </c>
      <c r="G111" s="85">
        <f>SUM(G106:G110)</f>
        <v>0</v>
      </c>
      <c r="H111" s="85">
        <f>SUM(H106:H110)</f>
        <v>0</v>
      </c>
      <c r="I111" s="85">
        <f t="shared" si="13"/>
        <v>60.87</v>
      </c>
      <c r="J111" s="84">
        <f>SUM(J106:J110)</f>
        <v>0</v>
      </c>
      <c r="K111" s="22"/>
      <c r="L111" s="87">
        <f t="shared" si="14"/>
        <v>8.6957142857142858E-3</v>
      </c>
      <c r="M111" s="88">
        <f t="shared" si="15"/>
        <v>0</v>
      </c>
      <c r="N111" s="88">
        <f t="shared" si="16"/>
        <v>0</v>
      </c>
      <c r="O111" s="84">
        <f t="shared" si="17"/>
        <v>8.6957142857142858E-3</v>
      </c>
      <c r="Q111" s="83">
        <f>SUM(Q106:Q110)</f>
        <v>0</v>
      </c>
      <c r="R111" s="84">
        <f>SUM(R106:R110)</f>
        <v>0</v>
      </c>
    </row>
    <row r="112" spans="1:18" ht="13.5" customHeight="1"/>
    <row r="113" spans="1:18" ht="13.5" customHeight="1" thickBot="1"/>
    <row r="114" spans="1:18" ht="15.75" customHeight="1" thickBot="1">
      <c r="A114" s="741" t="s">
        <v>19</v>
      </c>
      <c r="B114" s="3"/>
      <c r="C114" s="743">
        <v>2010</v>
      </c>
      <c r="D114" s="744"/>
      <c r="E114" s="35"/>
      <c r="F114" s="36">
        <v>2011</v>
      </c>
      <c r="G114" s="37"/>
      <c r="H114" s="745" t="s">
        <v>148</v>
      </c>
      <c r="I114" s="746"/>
      <c r="J114" s="747"/>
      <c r="K114" s="37"/>
      <c r="L114" s="37"/>
      <c r="M114" s="37"/>
      <c r="N114" s="37"/>
      <c r="O114" s="37"/>
    </row>
    <row r="115" spans="1:18" ht="13.5" thickBot="1">
      <c r="A115" s="742"/>
      <c r="B115" s="3"/>
      <c r="C115" s="751"/>
      <c r="D115" s="752"/>
      <c r="F115" s="388"/>
      <c r="G115" s="74"/>
      <c r="H115" s="748"/>
      <c r="I115" s="749"/>
      <c r="J115" s="750"/>
      <c r="K115" s="75"/>
      <c r="L115" s="80"/>
      <c r="M115" s="80"/>
    </row>
    <row r="116" spans="1:18" ht="30.75" customHeight="1" thickBot="1">
      <c r="A116" s="38" t="s">
        <v>5</v>
      </c>
      <c r="B116" s="4"/>
      <c r="C116" s="39" t="s">
        <v>20</v>
      </c>
      <c r="D116" s="40" t="s">
        <v>21</v>
      </c>
      <c r="F116" s="41" t="s">
        <v>20</v>
      </c>
      <c r="G116" s="42"/>
      <c r="H116" s="727" t="s">
        <v>70</v>
      </c>
      <c r="I116" s="728"/>
      <c r="J116" s="729"/>
      <c r="K116" s="42"/>
      <c r="L116" s="80"/>
      <c r="M116" s="80"/>
    </row>
    <row r="117" spans="1:18" ht="30" customHeight="1">
      <c r="A117" s="12" t="str">
        <f>$A$27</f>
        <v>Lifetime Demand Savings (kW*Yrs)</v>
      </c>
      <c r="C117" s="298">
        <f>[3]Savings!$C$12</f>
        <v>55</v>
      </c>
      <c r="D117" s="299">
        <f>[7]AR!$E$64</f>
        <v>5.8</v>
      </c>
      <c r="F117" s="304">
        <f>[3]Savings!$F$12</f>
        <v>27</v>
      </c>
      <c r="G117" s="42"/>
      <c r="H117" s="730" t="s">
        <v>53</v>
      </c>
      <c r="I117" s="731"/>
      <c r="J117" s="307">
        <f>[3]Budget!$D$35</f>
        <v>500</v>
      </c>
      <c r="K117" s="42"/>
      <c r="L117" s="43"/>
      <c r="M117" s="44"/>
    </row>
    <row r="118" spans="1:18" ht="30" customHeight="1">
      <c r="A118" s="1" t="str">
        <f>$A$28</f>
        <v>Lifetime Energy Savings (kWh)</v>
      </c>
      <c r="C118" s="300">
        <f>SUM('[3]Customer Energy Report'!$R$4:$R$29)*66.67%</f>
        <v>1680757.3670000001</v>
      </c>
      <c r="D118" s="301">
        <f>[5]CER!$C$39</f>
        <v>178640</v>
      </c>
      <c r="F118" s="305">
        <f>SUM('[3]Customer Energy Report'!$R$4:$R$29)-C118</f>
        <v>840252.63299999991</v>
      </c>
      <c r="G118" s="42"/>
      <c r="H118" s="732" t="s">
        <v>46</v>
      </c>
      <c r="I118" s="733"/>
      <c r="J118" s="308">
        <f>[7]AR!$B$64</f>
        <v>58</v>
      </c>
      <c r="K118" s="42"/>
      <c r="L118" s="78"/>
      <c r="M118" s="44"/>
    </row>
    <row r="119" spans="1:18" ht="30" customHeight="1" thickBot="1">
      <c r="A119" s="45" t="s">
        <v>22</v>
      </c>
      <c r="C119" s="302">
        <f>'[6]Customer Energy Report'!$M$5*66.67%</f>
        <v>105.09858800000001</v>
      </c>
      <c r="D119" s="303">
        <f>[5]CER!$C$42/1000</f>
        <v>11.82909687408392</v>
      </c>
      <c r="F119" s="306">
        <f>'[6]Customer Energy Report'!$M$5-C119</f>
        <v>52.54141199999998</v>
      </c>
      <c r="H119" s="734" t="s">
        <v>83</v>
      </c>
      <c r="I119" s="735"/>
      <c r="J119" s="309">
        <v>0</v>
      </c>
      <c r="L119" s="79"/>
      <c r="M119" s="42"/>
    </row>
    <row r="121" spans="1:18" ht="13.5" thickBot="1">
      <c r="A121" s="227"/>
      <c r="B121" s="227"/>
      <c r="C121" s="227"/>
      <c r="D121" s="227"/>
      <c r="E121" s="227"/>
      <c r="F121" s="227"/>
      <c r="G121" s="227"/>
      <c r="H121" s="227"/>
      <c r="I121" s="227"/>
      <c r="J121" s="227"/>
      <c r="K121" s="227"/>
      <c r="L121" s="227"/>
      <c r="M121" s="227"/>
      <c r="N121" s="227"/>
      <c r="O121" s="227"/>
      <c r="P121" s="227"/>
      <c r="Q121" s="227"/>
      <c r="R121" s="227"/>
    </row>
    <row r="123" spans="1:18" ht="27.75">
      <c r="A123" s="760" t="str">
        <f>"Energy Efficiency Program Detail - "&amp;C126</f>
        <v>Energy Efficiency Program Detail - Commercial Lighting</v>
      </c>
      <c r="B123" s="761"/>
      <c r="C123" s="761"/>
      <c r="D123" s="761"/>
      <c r="E123" s="761"/>
      <c r="F123" s="761"/>
      <c r="G123" s="761"/>
      <c r="H123" s="761"/>
      <c r="I123" s="761"/>
      <c r="J123" s="761"/>
      <c r="K123" s="761"/>
      <c r="L123" s="761"/>
      <c r="M123" s="761"/>
      <c r="N123" s="761"/>
      <c r="O123" s="761"/>
      <c r="P123" s="761"/>
      <c r="Q123" s="761"/>
      <c r="R123" s="762"/>
    </row>
    <row r="124" spans="1:18">
      <c r="A124" s="17"/>
      <c r="B124" s="17"/>
      <c r="C124" s="17"/>
      <c r="D124" s="17"/>
      <c r="E124" s="17"/>
      <c r="F124" s="17"/>
      <c r="G124" s="17"/>
      <c r="H124" s="17"/>
      <c r="I124" s="17"/>
      <c r="J124" s="17"/>
      <c r="K124" s="17"/>
      <c r="L124" s="17"/>
      <c r="M124" s="17"/>
      <c r="N124" s="17"/>
      <c r="O124" s="17"/>
    </row>
    <row r="125" spans="1:18">
      <c r="A125" s="18"/>
      <c r="B125" s="18"/>
    </row>
    <row r="126" spans="1:18" ht="12.75" customHeight="1">
      <c r="A126" s="19" t="s">
        <v>0</v>
      </c>
      <c r="B126" s="18"/>
      <c r="C126" s="763" t="s">
        <v>357</v>
      </c>
      <c r="D126" s="764"/>
      <c r="E126" s="764"/>
      <c r="F126" s="764"/>
      <c r="G126" s="765"/>
      <c r="H126" s="3" t="s">
        <v>82</v>
      </c>
      <c r="J126" s="766" t="s">
        <v>297</v>
      </c>
      <c r="K126" s="767"/>
      <c r="L126" s="767"/>
      <c r="M126" s="767"/>
      <c r="N126" s="767"/>
      <c r="O126" s="767"/>
      <c r="P126" s="767"/>
      <c r="Q126" s="767"/>
      <c r="R126" s="768"/>
    </row>
    <row r="127" spans="1:18">
      <c r="A127" s="20" t="s">
        <v>1</v>
      </c>
      <c r="B127" s="18"/>
      <c r="C127" s="763" t="s">
        <v>234</v>
      </c>
      <c r="D127" s="764"/>
      <c r="E127" s="764"/>
      <c r="F127" s="764"/>
      <c r="G127" s="765"/>
      <c r="J127" s="769"/>
      <c r="K127" s="770"/>
      <c r="L127" s="770"/>
      <c r="M127" s="770"/>
      <c r="N127" s="770"/>
      <c r="O127" s="770"/>
      <c r="P127" s="770"/>
      <c r="Q127" s="770"/>
      <c r="R127" s="771"/>
    </row>
    <row r="128" spans="1:18">
      <c r="A128" s="20" t="s">
        <v>2</v>
      </c>
      <c r="B128" s="18"/>
      <c r="C128" s="763" t="s">
        <v>162</v>
      </c>
      <c r="D128" s="764"/>
      <c r="E128" s="764"/>
      <c r="F128" s="764"/>
      <c r="G128" s="765"/>
      <c r="J128" s="769"/>
      <c r="K128" s="770"/>
      <c r="L128" s="770"/>
      <c r="M128" s="770"/>
      <c r="N128" s="770"/>
      <c r="O128" s="770"/>
      <c r="P128" s="770"/>
      <c r="Q128" s="770"/>
      <c r="R128" s="771"/>
    </row>
    <row r="129" spans="1:18">
      <c r="A129" s="20" t="s">
        <v>3</v>
      </c>
      <c r="B129" s="18"/>
      <c r="C129" s="763">
        <v>4</v>
      </c>
      <c r="D129" s="764"/>
      <c r="E129" s="764"/>
      <c r="F129" s="764"/>
      <c r="G129" s="765"/>
      <c r="J129" s="772"/>
      <c r="K129" s="773"/>
      <c r="L129" s="773"/>
      <c r="M129" s="773"/>
      <c r="N129" s="773"/>
      <c r="O129" s="773"/>
      <c r="P129" s="773"/>
      <c r="Q129" s="773"/>
      <c r="R129" s="774"/>
    </row>
    <row r="130" spans="1:18">
      <c r="A130" s="18"/>
      <c r="B130" s="18"/>
    </row>
    <row r="131" spans="1:18" ht="13.5" thickBot="1">
      <c r="A131" s="18"/>
      <c r="B131" s="18"/>
    </row>
    <row r="132" spans="1:18" ht="15.75" customHeight="1" thickBot="1">
      <c r="A132" s="758" t="s">
        <v>4</v>
      </c>
      <c r="B132" s="3"/>
      <c r="C132" s="738" t="s">
        <v>144</v>
      </c>
      <c r="D132" s="740"/>
      <c r="E132" s="21"/>
      <c r="F132" s="738" t="s">
        <v>145</v>
      </c>
      <c r="G132" s="739"/>
      <c r="H132" s="739"/>
      <c r="I132" s="739"/>
      <c r="J132" s="740"/>
      <c r="K132" s="22"/>
      <c r="L132" s="738" t="s">
        <v>146</v>
      </c>
      <c r="M132" s="739"/>
      <c r="N132" s="739"/>
      <c r="O132" s="740"/>
      <c r="Q132" s="738" t="s">
        <v>147</v>
      </c>
      <c r="R132" s="740"/>
    </row>
    <row r="133" spans="1:18" ht="13.5" customHeight="1" thickBot="1">
      <c r="A133" s="759"/>
      <c r="B133" s="3"/>
      <c r="C133" s="753"/>
      <c r="D133" s="754"/>
      <c r="E133" s="21"/>
      <c r="F133" s="755"/>
      <c r="G133" s="756"/>
      <c r="H133" s="756"/>
      <c r="I133" s="756"/>
      <c r="J133" s="757"/>
      <c r="K133" s="22"/>
      <c r="L133" s="755"/>
      <c r="M133" s="756"/>
      <c r="N133" s="756"/>
      <c r="O133" s="757"/>
      <c r="Q133" s="753"/>
      <c r="R133" s="754"/>
    </row>
    <row r="134" spans="1:18" ht="13.5" customHeight="1" thickBot="1">
      <c r="A134" s="736" t="s">
        <v>5</v>
      </c>
      <c r="B134" s="3"/>
      <c r="C134" s="14" t="s">
        <v>6</v>
      </c>
      <c r="D134" s="14" t="s">
        <v>7</v>
      </c>
      <c r="E134" s="21"/>
      <c r="F134" s="738" t="s">
        <v>28</v>
      </c>
      <c r="G134" s="739"/>
      <c r="H134" s="739"/>
      <c r="I134" s="14" t="s">
        <v>6</v>
      </c>
      <c r="J134" s="14" t="s">
        <v>7</v>
      </c>
      <c r="K134" s="22"/>
      <c r="L134" s="738" t="s">
        <v>8</v>
      </c>
      <c r="M134" s="739"/>
      <c r="N134" s="739"/>
      <c r="O134" s="740"/>
      <c r="Q134" s="14" t="s">
        <v>6</v>
      </c>
      <c r="R134" s="14" t="s">
        <v>7</v>
      </c>
    </row>
    <row r="135" spans="1:18" ht="13.5" customHeight="1" thickBot="1">
      <c r="A135" s="737"/>
      <c r="B135" s="4"/>
      <c r="C135" s="16" t="s">
        <v>12</v>
      </c>
      <c r="D135" s="16" t="s">
        <v>12</v>
      </c>
      <c r="E135" s="23"/>
      <c r="F135" s="16" t="s">
        <v>9</v>
      </c>
      <c r="G135" s="24" t="s">
        <v>10</v>
      </c>
      <c r="H135" s="25" t="s">
        <v>11</v>
      </c>
      <c r="I135" s="16" t="s">
        <v>13</v>
      </c>
      <c r="J135" s="16" t="s">
        <v>13</v>
      </c>
      <c r="K135" s="22"/>
      <c r="L135" s="16" t="s">
        <v>9</v>
      </c>
      <c r="M135" s="24" t="s">
        <v>10</v>
      </c>
      <c r="N135" s="25" t="s">
        <v>11</v>
      </c>
      <c r="O135" s="15" t="s">
        <v>6</v>
      </c>
      <c r="Q135" s="16" t="s">
        <v>12</v>
      </c>
      <c r="R135" s="16" t="s">
        <v>12</v>
      </c>
    </row>
    <row r="136" spans="1:18" ht="30" customHeight="1">
      <c r="A136" s="26" t="s">
        <v>241</v>
      </c>
      <c r="C136" s="294">
        <v>0</v>
      </c>
      <c r="D136" s="27">
        <f>IF(ISERROR(C136/C141),"-",C136/C141)</f>
        <v>0</v>
      </c>
      <c r="E136" s="22"/>
      <c r="F136" s="294">
        <v>0</v>
      </c>
      <c r="G136" s="296">
        <v>0</v>
      </c>
      <c r="H136" s="296">
        <v>0</v>
      </c>
      <c r="I136" s="28">
        <f t="shared" ref="I136:I141" si="18">F136+G136+H136</f>
        <v>0</v>
      </c>
      <c r="J136" s="27">
        <f>IF(ISERROR(I136/I141),"-",I136/I141)</f>
        <v>0</v>
      </c>
      <c r="K136" s="22"/>
      <c r="L136" s="29" t="str">
        <f t="shared" ref="L136:L141" si="19">IF(ISERROR(F136/$C136),"-",F136/$C136)</f>
        <v>-</v>
      </c>
      <c r="M136" s="89" t="str">
        <f t="shared" ref="M136:M141" si="20">IF(ISERROR(G136/$C136),"-",G136/$C136)</f>
        <v>-</v>
      </c>
      <c r="N136" s="89" t="str">
        <f t="shared" ref="N136:N141" si="21">IF(ISERROR(H136/$C136),"-",H136/$C136)</f>
        <v>-</v>
      </c>
      <c r="O136" s="27" t="str">
        <f t="shared" ref="O136:O141" si="22">IF(ISERROR(I136/$C136),"-",I136/$C136)</f>
        <v>-</v>
      </c>
      <c r="Q136" s="294"/>
      <c r="R136" s="27" t="str">
        <f>IF(ISERROR(Q136/Q141),"-",Q136/Q141)</f>
        <v>-</v>
      </c>
    </row>
    <row r="137" spans="1:18" ht="30" customHeight="1">
      <c r="A137" s="32" t="s">
        <v>179</v>
      </c>
      <c r="C137" s="295">
        <v>0</v>
      </c>
      <c r="D137" s="30">
        <f>IF(ISERROR(C137/C141),"-",C137/C141)</f>
        <v>0</v>
      </c>
      <c r="E137" s="22"/>
      <c r="F137" s="295">
        <f>SUM('[1]Expenditure Details '!$AM$102:$AM$113)+SUM('[1]Expenditure Details '!$AM$118:$AM$120)+SUM('[1]Expenditure Details '!$AM$115:$AM$116)</f>
        <v>1133.26</v>
      </c>
      <c r="G137" s="297">
        <v>0</v>
      </c>
      <c r="H137" s="297">
        <v>0</v>
      </c>
      <c r="I137" s="81">
        <f t="shared" si="18"/>
        <v>1133.26</v>
      </c>
      <c r="J137" s="30">
        <f>IF(ISERROR(I137/I141),"-",I137/I141)</f>
        <v>2.9740976944090079E-2</v>
      </c>
      <c r="K137" s="22"/>
      <c r="L137" s="86" t="str">
        <f t="shared" si="19"/>
        <v>-</v>
      </c>
      <c r="M137" s="82" t="str">
        <f t="shared" si="20"/>
        <v>-</v>
      </c>
      <c r="N137" s="82" t="str">
        <f t="shared" si="21"/>
        <v>-</v>
      </c>
      <c r="O137" s="30" t="str">
        <f t="shared" si="22"/>
        <v>-</v>
      </c>
      <c r="Q137" s="295"/>
      <c r="R137" s="30" t="str">
        <f>IF(ISERROR(Q137/Q141),"-",Q137/Q141)</f>
        <v>-</v>
      </c>
    </row>
    <row r="138" spans="1:18" ht="30" customHeight="1">
      <c r="A138" s="32" t="s">
        <v>14</v>
      </c>
      <c r="C138" s="295">
        <f>[6]Budget!$C$15-[6]Budget!$C$37</f>
        <v>37440</v>
      </c>
      <c r="D138" s="30">
        <f>IF(ISERROR(C138/C141),"-",C138/C141)</f>
        <v>0.67532467532467533</v>
      </c>
      <c r="E138" s="22"/>
      <c r="F138" s="295">
        <f>'[1]Expenditure Details '!$AM$114</f>
        <v>29218</v>
      </c>
      <c r="G138" s="297">
        <v>0</v>
      </c>
      <c r="H138" s="297">
        <v>0</v>
      </c>
      <c r="I138" s="81">
        <f t="shared" si="18"/>
        <v>29218</v>
      </c>
      <c r="J138" s="30">
        <f>IF(ISERROR(I138/I141),"-",I138/I141)</f>
        <v>0.76678949610188651</v>
      </c>
      <c r="K138" s="22"/>
      <c r="L138" s="86">
        <f t="shared" si="19"/>
        <v>0.78039529914529915</v>
      </c>
      <c r="M138" s="82">
        <f t="shared" si="20"/>
        <v>0</v>
      </c>
      <c r="N138" s="82">
        <f t="shared" si="21"/>
        <v>0</v>
      </c>
      <c r="O138" s="30">
        <f t="shared" si="22"/>
        <v>0.78039529914529915</v>
      </c>
      <c r="Q138" s="295"/>
      <c r="R138" s="30" t="str">
        <f>IF(ISERROR(Q138/Q141),"-",Q138/Q141)</f>
        <v>-</v>
      </c>
    </row>
    <row r="139" spans="1:18" ht="30" customHeight="1">
      <c r="A139" s="32" t="s">
        <v>15</v>
      </c>
      <c r="C139" s="295">
        <v>0</v>
      </c>
      <c r="D139" s="30">
        <f>IF(ISERROR(C139/C141),"-",C139/C141)</f>
        <v>0</v>
      </c>
      <c r="E139" s="22"/>
      <c r="F139" s="295">
        <v>0</v>
      </c>
      <c r="G139" s="297">
        <v>0</v>
      </c>
      <c r="H139" s="297">
        <v>0</v>
      </c>
      <c r="I139" s="81">
        <f t="shared" si="18"/>
        <v>0</v>
      </c>
      <c r="J139" s="30">
        <f>IF(ISERROR(I139/I141),"-",I139/I141)</f>
        <v>0</v>
      </c>
      <c r="K139" s="22"/>
      <c r="L139" s="86" t="str">
        <f t="shared" si="19"/>
        <v>-</v>
      </c>
      <c r="M139" s="82" t="str">
        <f t="shared" si="20"/>
        <v>-</v>
      </c>
      <c r="N139" s="82" t="str">
        <f t="shared" si="21"/>
        <v>-</v>
      </c>
      <c r="O139" s="30" t="str">
        <f t="shared" si="22"/>
        <v>-</v>
      </c>
      <c r="Q139" s="295"/>
      <c r="R139" s="30" t="str">
        <f>IF(ISERROR(Q139/Q141),"-",Q139/Q141)</f>
        <v>-</v>
      </c>
    </row>
    <row r="140" spans="1:18" ht="30" customHeight="1" thickBot="1">
      <c r="A140" s="33" t="s">
        <v>17</v>
      </c>
      <c r="C140" s="295">
        <f>[6]Budget!$C$37</f>
        <v>18000</v>
      </c>
      <c r="D140" s="30">
        <f>IF(ISERROR(C140/C141),"-",C140/C141)</f>
        <v>0.32467532467532467</v>
      </c>
      <c r="E140" s="22"/>
      <c r="F140" s="295">
        <f>SUM('[1]Expenditure Details '!$AM$121:$AM$128)+'[1]Expenditure Details '!$AM$117</f>
        <v>7753.0700000000015</v>
      </c>
      <c r="G140" s="297">
        <v>0</v>
      </c>
      <c r="H140" s="297">
        <v>0</v>
      </c>
      <c r="I140" s="81">
        <f t="shared" si="18"/>
        <v>7753.0700000000015</v>
      </c>
      <c r="J140" s="30">
        <f>IF(ISERROR(I140/I141),"-",I140/I141)</f>
        <v>0.20346952695402337</v>
      </c>
      <c r="K140" s="22"/>
      <c r="L140" s="86">
        <f t="shared" si="19"/>
        <v>0.4307261111111112</v>
      </c>
      <c r="M140" s="82">
        <f t="shared" si="20"/>
        <v>0</v>
      </c>
      <c r="N140" s="82">
        <f t="shared" si="21"/>
        <v>0</v>
      </c>
      <c r="O140" s="30">
        <f t="shared" si="22"/>
        <v>0.4307261111111112</v>
      </c>
      <c r="Q140" s="295"/>
      <c r="R140" s="30" t="str">
        <f>IF(ISERROR(Q140/Q141),"-",Q140/Q141)</f>
        <v>-</v>
      </c>
    </row>
    <row r="141" spans="1:18" ht="30" customHeight="1" thickBot="1">
      <c r="A141" s="34" t="s">
        <v>18</v>
      </c>
      <c r="C141" s="83">
        <f>SUM(C136:C140)</f>
        <v>55440</v>
      </c>
      <c r="D141" s="84">
        <f>SUM(D136:D140)</f>
        <v>1</v>
      </c>
      <c r="E141" s="22"/>
      <c r="F141" s="83">
        <f>SUM(F136:F140)</f>
        <v>38104.33</v>
      </c>
      <c r="G141" s="85">
        <f>SUM(G136:G140)</f>
        <v>0</v>
      </c>
      <c r="H141" s="85">
        <f>SUM(H136:H140)</f>
        <v>0</v>
      </c>
      <c r="I141" s="85">
        <f t="shared" si="18"/>
        <v>38104.33</v>
      </c>
      <c r="J141" s="84">
        <f>SUM(J136:J140)</f>
        <v>1</v>
      </c>
      <c r="K141" s="22"/>
      <c r="L141" s="87">
        <f t="shared" si="19"/>
        <v>0.68730753968253966</v>
      </c>
      <c r="M141" s="88">
        <f t="shared" si="20"/>
        <v>0</v>
      </c>
      <c r="N141" s="88">
        <f t="shared" si="21"/>
        <v>0</v>
      </c>
      <c r="O141" s="84">
        <f t="shared" si="22"/>
        <v>0.68730753968253966</v>
      </c>
      <c r="Q141" s="83">
        <f>SUM(Q136:Q140)</f>
        <v>0</v>
      </c>
      <c r="R141" s="84">
        <f>SUM(R136:R140)</f>
        <v>0</v>
      </c>
    </row>
    <row r="142" spans="1:18" ht="13.5" customHeight="1"/>
    <row r="143" spans="1:18" ht="13.5" customHeight="1" thickBot="1"/>
    <row r="144" spans="1:18" ht="15.75" customHeight="1" thickBot="1">
      <c r="A144" s="741" t="s">
        <v>19</v>
      </c>
      <c r="B144" s="3"/>
      <c r="C144" s="743">
        <v>2010</v>
      </c>
      <c r="D144" s="744"/>
      <c r="E144" s="35"/>
      <c r="F144" s="36">
        <v>2011</v>
      </c>
      <c r="G144" s="37"/>
      <c r="H144" s="745" t="s">
        <v>148</v>
      </c>
      <c r="I144" s="746"/>
      <c r="J144" s="747"/>
      <c r="K144" s="37"/>
      <c r="L144" s="37"/>
      <c r="M144" s="37"/>
      <c r="N144" s="37"/>
      <c r="O144" s="37"/>
    </row>
    <row r="145" spans="1:18" ht="13.5" thickBot="1">
      <c r="A145" s="742"/>
      <c r="B145" s="3"/>
      <c r="C145" s="751"/>
      <c r="D145" s="752"/>
      <c r="F145" s="388"/>
      <c r="G145" s="74"/>
      <c r="H145" s="748"/>
      <c r="I145" s="749"/>
      <c r="J145" s="750"/>
      <c r="K145" s="75"/>
      <c r="L145" s="80"/>
      <c r="M145" s="80"/>
    </row>
    <row r="146" spans="1:18" ht="30.75" customHeight="1" thickBot="1">
      <c r="A146" s="38" t="s">
        <v>5</v>
      </c>
      <c r="B146" s="4"/>
      <c r="C146" s="39" t="s">
        <v>20</v>
      </c>
      <c r="D146" s="40" t="s">
        <v>21</v>
      </c>
      <c r="F146" s="41" t="s">
        <v>20</v>
      </c>
      <c r="G146" s="42"/>
      <c r="H146" s="727" t="s">
        <v>70</v>
      </c>
      <c r="I146" s="728"/>
      <c r="J146" s="729"/>
      <c r="K146" s="42"/>
      <c r="L146" s="80"/>
      <c r="M146" s="80"/>
    </row>
    <row r="147" spans="1:18" ht="30" customHeight="1">
      <c r="A147" s="12" t="str">
        <f>$A$27</f>
        <v>Lifetime Demand Savings (kW*Yrs)</v>
      </c>
      <c r="C147" s="699">
        <v>280</v>
      </c>
      <c r="D147" s="299">
        <f>[7]AR!$E$98*98%</f>
        <v>431.66549999999995</v>
      </c>
      <c r="F147" s="696">
        <v>186</v>
      </c>
      <c r="G147" s="42"/>
      <c r="H147" s="730" t="s">
        <v>53</v>
      </c>
      <c r="I147" s="731"/>
      <c r="J147" s="694">
        <v>15</v>
      </c>
      <c r="K147" s="42"/>
      <c r="L147" s="43"/>
      <c r="M147" s="44"/>
    </row>
    <row r="148" spans="1:18" ht="30" customHeight="1">
      <c r="A148" s="1" t="str">
        <f>$A$28</f>
        <v>Lifetime Energy Savings (kWh)</v>
      </c>
      <c r="C148" s="700">
        <f>SUM('[6]Commercial Lighting'!$D$4:$D$29)*1000*66.67%</f>
        <v>15000750.000000002</v>
      </c>
      <c r="D148" s="301">
        <f>'[5]Comm Light'!$C$39*98%</f>
        <v>14465848.2864</v>
      </c>
      <c r="F148" s="697">
        <f>SUM('[6]Commercial Lighting'!$D$4:$D$29)*1000*33.33%</f>
        <v>7499250</v>
      </c>
      <c r="G148" s="42"/>
      <c r="H148" s="732" t="s">
        <v>46</v>
      </c>
      <c r="I148" s="733"/>
      <c r="J148" s="308">
        <f>[7]AR!$B$98</f>
        <v>23</v>
      </c>
      <c r="K148" s="42"/>
      <c r="L148" s="78"/>
      <c r="M148" s="695"/>
    </row>
    <row r="149" spans="1:18" ht="30" customHeight="1" thickBot="1">
      <c r="A149" s="45" t="s">
        <v>22</v>
      </c>
      <c r="C149" s="701">
        <f>'[6]Commercial Lighting'!$M$5*66.67%</f>
        <v>678.92727800000011</v>
      </c>
      <c r="D149" s="708">
        <f>'[5]Comm Light'!$C$42/1000</f>
        <v>1041.5095731953074</v>
      </c>
      <c r="F149" s="698">
        <f>'[6]Commercial Lighting'!$M$5-C149</f>
        <v>339.41272199999992</v>
      </c>
      <c r="G149" s="42"/>
      <c r="H149" s="734" t="s">
        <v>83</v>
      </c>
      <c r="I149" s="735"/>
      <c r="J149" s="309">
        <v>0</v>
      </c>
      <c r="L149" s="79"/>
      <c r="M149" s="42"/>
    </row>
    <row r="151" spans="1:18" ht="13.5" thickBot="1">
      <c r="A151" s="227"/>
      <c r="B151" s="227"/>
      <c r="C151" s="227"/>
      <c r="D151" s="227"/>
      <c r="E151" s="227"/>
      <c r="F151" s="227"/>
      <c r="G151" s="227"/>
      <c r="H151" s="227"/>
      <c r="I151" s="227"/>
      <c r="J151" s="227"/>
      <c r="K151" s="227"/>
      <c r="L151" s="227"/>
      <c r="M151" s="227"/>
      <c r="N151" s="227"/>
      <c r="O151" s="227"/>
      <c r="P151" s="227"/>
      <c r="Q151" s="227"/>
      <c r="R151" s="227"/>
    </row>
    <row r="153" spans="1:18" ht="27.75">
      <c r="A153" s="760" t="str">
        <f>"Energy Efficiency Program Detail - "&amp;C156</f>
        <v>Energy Efficiency Program Detail - Commercial Motors</v>
      </c>
      <c r="B153" s="761"/>
      <c r="C153" s="761"/>
      <c r="D153" s="761"/>
      <c r="E153" s="761"/>
      <c r="F153" s="761"/>
      <c r="G153" s="761"/>
      <c r="H153" s="761"/>
      <c r="I153" s="761"/>
      <c r="J153" s="761"/>
      <c r="K153" s="761"/>
      <c r="L153" s="761"/>
      <c r="M153" s="761"/>
      <c r="N153" s="761"/>
      <c r="O153" s="761"/>
      <c r="P153" s="761"/>
      <c r="Q153" s="761"/>
      <c r="R153" s="762"/>
    </row>
    <row r="154" spans="1:18">
      <c r="A154" s="17"/>
      <c r="B154" s="17"/>
      <c r="C154" s="17"/>
      <c r="D154" s="17"/>
      <c r="E154" s="17"/>
      <c r="F154" s="17"/>
      <c r="G154" s="17"/>
      <c r="H154" s="17"/>
      <c r="I154" s="17"/>
      <c r="J154" s="17"/>
      <c r="K154" s="17"/>
      <c r="L154" s="17"/>
      <c r="M154" s="17"/>
      <c r="N154" s="17"/>
      <c r="O154" s="17"/>
    </row>
    <row r="155" spans="1:18">
      <c r="A155" s="18"/>
      <c r="B155" s="18"/>
    </row>
    <row r="156" spans="1:18" ht="12.75" customHeight="1">
      <c r="A156" s="19" t="s">
        <v>0</v>
      </c>
      <c r="B156" s="18"/>
      <c r="C156" s="763" t="s">
        <v>368</v>
      </c>
      <c r="D156" s="764"/>
      <c r="E156" s="764"/>
      <c r="F156" s="764"/>
      <c r="G156" s="765"/>
      <c r="H156" s="3" t="s">
        <v>82</v>
      </c>
      <c r="J156" s="766" t="s">
        <v>298</v>
      </c>
      <c r="K156" s="767"/>
      <c r="L156" s="767"/>
      <c r="M156" s="767"/>
      <c r="N156" s="767"/>
      <c r="O156" s="767"/>
      <c r="P156" s="767"/>
      <c r="Q156" s="767"/>
      <c r="R156" s="768"/>
    </row>
    <row r="157" spans="1:18">
      <c r="A157" s="20" t="s">
        <v>1</v>
      </c>
      <c r="B157" s="18"/>
      <c r="C157" s="763" t="s">
        <v>185</v>
      </c>
      <c r="D157" s="764"/>
      <c r="E157" s="764"/>
      <c r="F157" s="764"/>
      <c r="G157" s="765"/>
      <c r="J157" s="769"/>
      <c r="K157" s="770"/>
      <c r="L157" s="770"/>
      <c r="M157" s="770"/>
      <c r="N157" s="770"/>
      <c r="O157" s="770"/>
      <c r="P157" s="770"/>
      <c r="Q157" s="770"/>
      <c r="R157" s="771"/>
    </row>
    <row r="158" spans="1:18">
      <c r="A158" s="20" t="s">
        <v>2</v>
      </c>
      <c r="B158" s="18"/>
      <c r="C158" s="763" t="s">
        <v>165</v>
      </c>
      <c r="D158" s="764"/>
      <c r="E158" s="764"/>
      <c r="F158" s="764"/>
      <c r="G158" s="765"/>
      <c r="J158" s="769"/>
      <c r="K158" s="770"/>
      <c r="L158" s="770"/>
      <c r="M158" s="770"/>
      <c r="N158" s="770"/>
      <c r="O158" s="770"/>
      <c r="P158" s="770"/>
      <c r="Q158" s="770"/>
      <c r="R158" s="771"/>
    </row>
    <row r="159" spans="1:18">
      <c r="A159" s="20" t="s">
        <v>3</v>
      </c>
      <c r="B159" s="18"/>
      <c r="C159" s="763">
        <v>5</v>
      </c>
      <c r="D159" s="764"/>
      <c r="E159" s="764"/>
      <c r="F159" s="764"/>
      <c r="G159" s="765"/>
      <c r="J159" s="772"/>
      <c r="K159" s="773"/>
      <c r="L159" s="773"/>
      <c r="M159" s="773"/>
      <c r="N159" s="773"/>
      <c r="O159" s="773"/>
      <c r="P159" s="773"/>
      <c r="Q159" s="773"/>
      <c r="R159" s="774"/>
    </row>
    <row r="160" spans="1:18">
      <c r="A160" s="18"/>
      <c r="B160" s="18"/>
    </row>
    <row r="161" spans="1:18" ht="13.5" thickBot="1">
      <c r="A161" s="18"/>
      <c r="B161" s="18"/>
    </row>
    <row r="162" spans="1:18" ht="15.75" customHeight="1" thickBot="1">
      <c r="A162" s="758" t="s">
        <v>4</v>
      </c>
      <c r="B162" s="3"/>
      <c r="C162" s="738" t="s">
        <v>144</v>
      </c>
      <c r="D162" s="740"/>
      <c r="E162" s="21"/>
      <c r="F162" s="738" t="s">
        <v>145</v>
      </c>
      <c r="G162" s="739"/>
      <c r="H162" s="739"/>
      <c r="I162" s="739"/>
      <c r="J162" s="740"/>
      <c r="K162" s="22"/>
      <c r="L162" s="738" t="s">
        <v>146</v>
      </c>
      <c r="M162" s="739"/>
      <c r="N162" s="739"/>
      <c r="O162" s="740"/>
      <c r="Q162" s="738" t="s">
        <v>147</v>
      </c>
      <c r="R162" s="740"/>
    </row>
    <row r="163" spans="1:18" ht="13.5" customHeight="1" thickBot="1">
      <c r="A163" s="759"/>
      <c r="B163" s="3"/>
      <c r="C163" s="753"/>
      <c r="D163" s="754"/>
      <c r="E163" s="21"/>
      <c r="F163" s="755"/>
      <c r="G163" s="756"/>
      <c r="H163" s="756"/>
      <c r="I163" s="756"/>
      <c r="J163" s="757"/>
      <c r="K163" s="22"/>
      <c r="L163" s="755"/>
      <c r="M163" s="756"/>
      <c r="N163" s="756"/>
      <c r="O163" s="757"/>
      <c r="Q163" s="753"/>
      <c r="R163" s="754"/>
    </row>
    <row r="164" spans="1:18" ht="13.5" customHeight="1" thickBot="1">
      <c r="A164" s="736" t="s">
        <v>5</v>
      </c>
      <c r="B164" s="3"/>
      <c r="C164" s="14" t="s">
        <v>6</v>
      </c>
      <c r="D164" s="14" t="s">
        <v>7</v>
      </c>
      <c r="E164" s="21"/>
      <c r="F164" s="738" t="s">
        <v>28</v>
      </c>
      <c r="G164" s="739"/>
      <c r="H164" s="739"/>
      <c r="I164" s="14" t="s">
        <v>6</v>
      </c>
      <c r="J164" s="14" t="s">
        <v>7</v>
      </c>
      <c r="K164" s="22"/>
      <c r="L164" s="738" t="s">
        <v>8</v>
      </c>
      <c r="M164" s="739"/>
      <c r="N164" s="739"/>
      <c r="O164" s="740"/>
      <c r="Q164" s="14" t="s">
        <v>6</v>
      </c>
      <c r="R164" s="14" t="s">
        <v>7</v>
      </c>
    </row>
    <row r="165" spans="1:18" ht="13.5" customHeight="1" thickBot="1">
      <c r="A165" s="737"/>
      <c r="B165" s="4"/>
      <c r="C165" s="16" t="s">
        <v>12</v>
      </c>
      <c r="D165" s="16" t="s">
        <v>12</v>
      </c>
      <c r="E165" s="23"/>
      <c r="F165" s="16" t="s">
        <v>9</v>
      </c>
      <c r="G165" s="24" t="s">
        <v>10</v>
      </c>
      <c r="H165" s="25" t="s">
        <v>11</v>
      </c>
      <c r="I165" s="16" t="s">
        <v>13</v>
      </c>
      <c r="J165" s="16" t="s">
        <v>13</v>
      </c>
      <c r="K165" s="22"/>
      <c r="L165" s="16" t="s">
        <v>9</v>
      </c>
      <c r="M165" s="24" t="s">
        <v>10</v>
      </c>
      <c r="N165" s="25" t="s">
        <v>11</v>
      </c>
      <c r="O165" s="15" t="s">
        <v>6</v>
      </c>
      <c r="Q165" s="16" t="s">
        <v>12</v>
      </c>
      <c r="R165" s="16" t="s">
        <v>12</v>
      </c>
    </row>
    <row r="166" spans="1:18" ht="30" customHeight="1">
      <c r="A166" s="26" t="s">
        <v>241</v>
      </c>
      <c r="C166" s="294">
        <v>0</v>
      </c>
      <c r="D166" s="27">
        <f>IF(ISERROR(C166/C171),"-",C166/C171)</f>
        <v>0</v>
      </c>
      <c r="E166" s="22"/>
      <c r="F166" s="294">
        <v>0</v>
      </c>
      <c r="G166" s="296">
        <v>0</v>
      </c>
      <c r="H166" s="296">
        <v>0</v>
      </c>
      <c r="I166" s="28">
        <f t="shared" ref="I166:I171" si="23">F166+G166+H166</f>
        <v>0</v>
      </c>
      <c r="J166" s="27">
        <f>IF(ISERROR(I166/I171),"-",I166/I171)</f>
        <v>0</v>
      </c>
      <c r="K166" s="22"/>
      <c r="L166" s="29" t="str">
        <f t="shared" ref="L166:L171" si="24">IF(ISERROR(F166/$C166),"-",F166/$C166)</f>
        <v>-</v>
      </c>
      <c r="M166" s="89" t="str">
        <f t="shared" ref="M166:M171" si="25">IF(ISERROR(G166/$C166),"-",G166/$C166)</f>
        <v>-</v>
      </c>
      <c r="N166" s="89" t="str">
        <f t="shared" ref="N166:N171" si="26">IF(ISERROR(H166/$C166),"-",H166/$C166)</f>
        <v>-</v>
      </c>
      <c r="O166" s="27" t="str">
        <f t="shared" ref="O166:O171" si="27">IF(ISERROR(I166/$C166),"-",I166/$C166)</f>
        <v>-</v>
      </c>
      <c r="Q166" s="294"/>
      <c r="R166" s="27" t="str">
        <f>IF(ISERROR(Q166/Q171),"-",Q166/Q171)</f>
        <v>-</v>
      </c>
    </row>
    <row r="167" spans="1:18" ht="30" customHeight="1">
      <c r="A167" s="32" t="s">
        <v>179</v>
      </c>
      <c r="C167" s="295">
        <v>0</v>
      </c>
      <c r="D167" s="30">
        <f>IF(ISERROR(C167/C171),"-",C167/C171)</f>
        <v>0</v>
      </c>
      <c r="E167" s="22"/>
      <c r="F167" s="295">
        <f>SUM('[1]Expenditure Details '!$AM$134:$AM$145)+SUM('[1]Expenditure Details '!$AM$147:$AM$148)+SUM('[1]Expenditure Details '!$AM$150:$AM$152)</f>
        <v>908.79000000000008</v>
      </c>
      <c r="G167" s="297">
        <v>0</v>
      </c>
      <c r="H167" s="297">
        <v>0</v>
      </c>
      <c r="I167" s="81">
        <f t="shared" si="23"/>
        <v>908.79000000000008</v>
      </c>
      <c r="J167" s="30">
        <f>IF(ISERROR(I167/I171),"-",I167/I171)</f>
        <v>8.0824942880291864E-2</v>
      </c>
      <c r="K167" s="22"/>
      <c r="L167" s="86" t="str">
        <f t="shared" si="24"/>
        <v>-</v>
      </c>
      <c r="M167" s="82" t="str">
        <f t="shared" si="25"/>
        <v>-</v>
      </c>
      <c r="N167" s="82" t="str">
        <f t="shared" si="26"/>
        <v>-</v>
      </c>
      <c r="O167" s="30" t="str">
        <f t="shared" si="27"/>
        <v>-</v>
      </c>
      <c r="Q167" s="295"/>
      <c r="R167" s="30" t="str">
        <f>IF(ISERROR(Q167/Q171),"-",Q167/Q171)</f>
        <v>-</v>
      </c>
    </row>
    <row r="168" spans="1:18" ht="30" customHeight="1">
      <c r="A168" s="32" t="s">
        <v>14</v>
      </c>
      <c r="C168" s="295">
        <f>[6]Budget!$C$17-[6]Budget!$C$39</f>
        <v>5000</v>
      </c>
      <c r="D168" s="30">
        <f>IF(ISERROR(C168/C171),"-",C168/C171)</f>
        <v>0.66666666666666663</v>
      </c>
      <c r="E168" s="22"/>
      <c r="F168" s="295">
        <f>SUM('[1]Expenditure Details '!$AM$146)</f>
        <v>2450</v>
      </c>
      <c r="G168" s="297">
        <v>0</v>
      </c>
      <c r="H168" s="297">
        <v>0</v>
      </c>
      <c r="I168" s="81">
        <f t="shared" si="23"/>
        <v>2450</v>
      </c>
      <c r="J168" s="30">
        <f>IF(ISERROR(I168/I171),"-",I168/I171)</f>
        <v>0.21789534442139002</v>
      </c>
      <c r="K168" s="22"/>
      <c r="L168" s="86">
        <f t="shared" si="24"/>
        <v>0.49</v>
      </c>
      <c r="M168" s="82">
        <f t="shared" si="25"/>
        <v>0</v>
      </c>
      <c r="N168" s="82">
        <f t="shared" si="26"/>
        <v>0</v>
      </c>
      <c r="O168" s="30">
        <f t="shared" si="27"/>
        <v>0.49</v>
      </c>
      <c r="Q168" s="295"/>
      <c r="R168" s="30" t="str">
        <f>IF(ISERROR(Q168/Q171),"-",Q168/Q171)</f>
        <v>-</v>
      </c>
    </row>
    <row r="169" spans="1:18" ht="30" customHeight="1">
      <c r="A169" s="32" t="s">
        <v>15</v>
      </c>
      <c r="C169" s="295">
        <v>0</v>
      </c>
      <c r="D169" s="30">
        <f>IF(ISERROR(C169/C171),"-",C169/C171)</f>
        <v>0</v>
      </c>
      <c r="E169" s="22"/>
      <c r="F169" s="295">
        <f>0</f>
        <v>0</v>
      </c>
      <c r="G169" s="297">
        <v>0</v>
      </c>
      <c r="H169" s="297">
        <v>0</v>
      </c>
      <c r="I169" s="81">
        <f t="shared" si="23"/>
        <v>0</v>
      </c>
      <c r="J169" s="30">
        <f>IF(ISERROR(I169/I171),"-",I169/I171)</f>
        <v>0</v>
      </c>
      <c r="K169" s="22"/>
      <c r="L169" s="86" t="str">
        <f t="shared" si="24"/>
        <v>-</v>
      </c>
      <c r="M169" s="82" t="str">
        <f t="shared" si="25"/>
        <v>-</v>
      </c>
      <c r="N169" s="82" t="str">
        <f t="shared" si="26"/>
        <v>-</v>
      </c>
      <c r="O169" s="30" t="str">
        <f t="shared" si="27"/>
        <v>-</v>
      </c>
      <c r="Q169" s="295"/>
      <c r="R169" s="30" t="str">
        <f>IF(ISERROR(Q169/Q171),"-",Q169/Q171)</f>
        <v>-</v>
      </c>
    </row>
    <row r="170" spans="1:18" ht="30" customHeight="1" thickBot="1">
      <c r="A170" s="33" t="s">
        <v>17</v>
      </c>
      <c r="C170" s="295">
        <f>[6]Budget!$C$39</f>
        <v>2500</v>
      </c>
      <c r="D170" s="30">
        <f>IF(ISERROR(C170/C171),"-",C170/C171)</f>
        <v>0.33333333333333331</v>
      </c>
      <c r="E170" s="22"/>
      <c r="F170" s="295">
        <f>SUM('[1]Expenditure Details '!$AM$153:$AM$160)+'[1]Expenditure Details '!$AM$149</f>
        <v>7885.14</v>
      </c>
      <c r="G170" s="297">
        <v>0</v>
      </c>
      <c r="H170" s="297">
        <v>0</v>
      </c>
      <c r="I170" s="81">
        <f t="shared" si="23"/>
        <v>7885.14</v>
      </c>
      <c r="J170" s="30">
        <f>IF(ISERROR(I170/I171),"-",I170/I171)</f>
        <v>0.70127971269831813</v>
      </c>
      <c r="K170" s="22"/>
      <c r="L170" s="86">
        <f t="shared" si="24"/>
        <v>3.1540560000000002</v>
      </c>
      <c r="M170" s="82">
        <f t="shared" si="25"/>
        <v>0</v>
      </c>
      <c r="N170" s="82">
        <f t="shared" si="26"/>
        <v>0</v>
      </c>
      <c r="O170" s="30">
        <f t="shared" si="27"/>
        <v>3.1540560000000002</v>
      </c>
      <c r="Q170" s="295"/>
      <c r="R170" s="30" t="str">
        <f>IF(ISERROR(Q170/Q171),"-",Q170/Q171)</f>
        <v>-</v>
      </c>
    </row>
    <row r="171" spans="1:18" ht="30" customHeight="1" thickBot="1">
      <c r="A171" s="34" t="s">
        <v>18</v>
      </c>
      <c r="C171" s="83">
        <f>SUM(C166:C170)</f>
        <v>7500</v>
      </c>
      <c r="D171" s="84">
        <f>SUM(D166:D170)</f>
        <v>1</v>
      </c>
      <c r="E171" s="22"/>
      <c r="F171" s="83">
        <f>SUM(F166:F170)</f>
        <v>11243.93</v>
      </c>
      <c r="G171" s="85">
        <f>SUM(G166:G170)</f>
        <v>0</v>
      </c>
      <c r="H171" s="85">
        <f>SUM(H166:H170)</f>
        <v>0</v>
      </c>
      <c r="I171" s="85">
        <f t="shared" si="23"/>
        <v>11243.93</v>
      </c>
      <c r="J171" s="84">
        <f>SUM(J166:J170)</f>
        <v>1</v>
      </c>
      <c r="K171" s="22"/>
      <c r="L171" s="87">
        <f t="shared" si="24"/>
        <v>1.4991906666666668</v>
      </c>
      <c r="M171" s="88">
        <f t="shared" si="25"/>
        <v>0</v>
      </c>
      <c r="N171" s="88">
        <f t="shared" si="26"/>
        <v>0</v>
      </c>
      <c r="O171" s="84">
        <f t="shared" si="27"/>
        <v>1.4991906666666668</v>
      </c>
      <c r="Q171" s="83">
        <f>SUM(Q166:Q170)</f>
        <v>0</v>
      </c>
      <c r="R171" s="84">
        <f>SUM(R166:R170)</f>
        <v>0</v>
      </c>
    </row>
    <row r="172" spans="1:18" ht="13.5" customHeight="1"/>
    <row r="173" spans="1:18" ht="13.5" customHeight="1" thickBot="1"/>
    <row r="174" spans="1:18" ht="15.75" customHeight="1" thickBot="1">
      <c r="A174" s="741" t="s">
        <v>19</v>
      </c>
      <c r="B174" s="3"/>
      <c r="C174" s="743">
        <v>2010</v>
      </c>
      <c r="D174" s="744"/>
      <c r="E174" s="35"/>
      <c r="F174" s="36">
        <v>2011</v>
      </c>
      <c r="G174" s="37"/>
      <c r="H174" s="745" t="s">
        <v>148</v>
      </c>
      <c r="I174" s="746"/>
      <c r="J174" s="747"/>
      <c r="K174" s="37"/>
      <c r="L174" s="37"/>
      <c r="M174" s="37"/>
      <c r="N174" s="37"/>
      <c r="O174" s="37"/>
    </row>
    <row r="175" spans="1:18" ht="13.5" thickBot="1">
      <c r="A175" s="742"/>
      <c r="B175" s="3"/>
      <c r="C175" s="751"/>
      <c r="D175" s="752"/>
      <c r="F175" s="388"/>
      <c r="G175" s="74"/>
      <c r="H175" s="748"/>
      <c r="I175" s="749"/>
      <c r="J175" s="750"/>
      <c r="K175" s="75"/>
      <c r="L175" s="80"/>
      <c r="M175" s="80"/>
    </row>
    <row r="176" spans="1:18" ht="30.75" customHeight="1" thickBot="1">
      <c r="A176" s="38" t="s">
        <v>5</v>
      </c>
      <c r="B176" s="4"/>
      <c r="C176" s="39" t="s">
        <v>20</v>
      </c>
      <c r="D176" s="40" t="s">
        <v>21</v>
      </c>
      <c r="F176" s="41" t="s">
        <v>20</v>
      </c>
      <c r="G176" s="42"/>
      <c r="H176" s="727" t="s">
        <v>70</v>
      </c>
      <c r="I176" s="728"/>
      <c r="J176" s="729"/>
      <c r="K176" s="42"/>
      <c r="L176" s="80"/>
      <c r="M176" s="80"/>
    </row>
    <row r="177" spans="1:18" ht="30" customHeight="1">
      <c r="A177" s="12" t="str">
        <f>$A$27</f>
        <v>Lifetime Demand Savings (kW*Yrs)</v>
      </c>
      <c r="C177" s="298">
        <v>13</v>
      </c>
      <c r="D177" s="299">
        <f>[7]AR!$E$115*(85%)</f>
        <v>21.289950000000001</v>
      </c>
      <c r="F177" s="304">
        <v>8</v>
      </c>
      <c r="G177" s="42"/>
      <c r="H177" s="730" t="s">
        <v>53</v>
      </c>
      <c r="I177" s="731"/>
      <c r="J177" s="307">
        <f>[3]Budget!$D$17</f>
        <v>25</v>
      </c>
      <c r="K177" s="42"/>
      <c r="L177" s="43"/>
      <c r="M177" s="44"/>
    </row>
    <row r="178" spans="1:18" ht="30" customHeight="1">
      <c r="A178" s="1" t="str">
        <f>$A$28</f>
        <v>Lifetime Energy Savings (kWh)</v>
      </c>
      <c r="C178" s="300">
        <f>SUM('[6]Commercial Motors'!$D$4:$D$29)*1000*66.67%</f>
        <v>740703.70000000007</v>
      </c>
      <c r="D178" s="301">
        <f>'[5]Comm Motor'!$C$39*85%</f>
        <v>1389834.9574999998</v>
      </c>
      <c r="F178" s="305">
        <f>SUM('[6]Commercial Motors'!$D$4:$D$29)*1000*33.335%</f>
        <v>370351.85000000003</v>
      </c>
      <c r="G178" s="42"/>
      <c r="H178" s="732" t="s">
        <v>46</v>
      </c>
      <c r="I178" s="733"/>
      <c r="J178" s="308">
        <f>[7]AR!$B$115</f>
        <v>21</v>
      </c>
      <c r="K178" s="42"/>
      <c r="L178" s="78"/>
      <c r="M178" s="44"/>
    </row>
    <row r="179" spans="1:18" ht="30" customHeight="1" thickBot="1">
      <c r="A179" s="45" t="s">
        <v>22</v>
      </c>
      <c r="C179" s="702">
        <f>'[6]Commercial Motors'!$M$5*66.67%</f>
        <v>0.13334000000000001</v>
      </c>
      <c r="D179" s="708">
        <f>'[5]Comm Motor'!$C$42/1000</f>
        <v>68.076714637958304</v>
      </c>
      <c r="F179" s="703">
        <f>'[6]Commercial Motors'!$M$5-C179</f>
        <v>6.6659999999999997E-2</v>
      </c>
      <c r="H179" s="734" t="s">
        <v>83</v>
      </c>
      <c r="I179" s="735"/>
      <c r="J179" s="309">
        <v>0</v>
      </c>
      <c r="L179" s="79"/>
      <c r="M179" s="42"/>
    </row>
    <row r="181" spans="1:18" ht="13.5" thickBot="1">
      <c r="A181" s="227"/>
      <c r="B181" s="227"/>
      <c r="C181" s="227"/>
      <c r="D181" s="227"/>
      <c r="E181" s="227"/>
      <c r="F181" s="227"/>
      <c r="G181" s="227"/>
      <c r="H181" s="227"/>
      <c r="I181" s="227"/>
      <c r="J181" s="227"/>
      <c r="K181" s="227"/>
      <c r="L181" s="227"/>
      <c r="M181" s="227"/>
      <c r="N181" s="227"/>
      <c r="O181" s="227"/>
      <c r="P181" s="227"/>
      <c r="Q181" s="227"/>
      <c r="R181" s="227"/>
    </row>
    <row r="183" spans="1:18" ht="27.75">
      <c r="A183" s="760" t="str">
        <f>"Energy Efficiency Program Detail - "&amp;C186</f>
        <v xml:space="preserve">Energy Efficiency Program Detail - Energy Efficiency Arkansas (Collaborative) </v>
      </c>
      <c r="B183" s="761"/>
      <c r="C183" s="761"/>
      <c r="D183" s="761"/>
      <c r="E183" s="761"/>
      <c r="F183" s="761"/>
      <c r="G183" s="761"/>
      <c r="H183" s="761"/>
      <c r="I183" s="761"/>
      <c r="J183" s="761"/>
      <c r="K183" s="761"/>
      <c r="L183" s="761"/>
      <c r="M183" s="761"/>
      <c r="N183" s="761"/>
      <c r="O183" s="761"/>
      <c r="P183" s="761"/>
      <c r="Q183" s="761"/>
      <c r="R183" s="762"/>
    </row>
    <row r="184" spans="1:18">
      <c r="A184" s="17"/>
      <c r="B184" s="17"/>
      <c r="C184" s="17"/>
      <c r="D184" s="17"/>
      <c r="E184" s="17"/>
      <c r="F184" s="17"/>
      <c r="G184" s="17"/>
      <c r="H184" s="17"/>
      <c r="I184" s="17"/>
      <c r="J184" s="17"/>
      <c r="K184" s="17"/>
      <c r="L184" s="17"/>
      <c r="M184" s="17"/>
      <c r="N184" s="17"/>
      <c r="O184" s="17"/>
    </row>
    <row r="185" spans="1:18">
      <c r="A185" s="18"/>
      <c r="B185" s="18"/>
    </row>
    <row r="186" spans="1:18" ht="12.75" customHeight="1">
      <c r="A186" s="19" t="s">
        <v>0</v>
      </c>
      <c r="B186" s="18"/>
      <c r="C186" s="763" t="s">
        <v>386</v>
      </c>
      <c r="D186" s="764"/>
      <c r="E186" s="764"/>
      <c r="F186" s="764"/>
      <c r="G186" s="765"/>
      <c r="H186" s="3" t="s">
        <v>82</v>
      </c>
      <c r="J186" s="766" t="s">
        <v>299</v>
      </c>
      <c r="K186" s="767"/>
      <c r="L186" s="767"/>
      <c r="M186" s="767"/>
      <c r="N186" s="767"/>
      <c r="O186" s="767"/>
      <c r="P186" s="767"/>
      <c r="Q186" s="767"/>
      <c r="R186" s="768"/>
    </row>
    <row r="187" spans="1:18">
      <c r="A187" s="20" t="s">
        <v>1</v>
      </c>
      <c r="B187" s="18"/>
      <c r="C187" s="763" t="s">
        <v>55</v>
      </c>
      <c r="D187" s="764"/>
      <c r="E187" s="764"/>
      <c r="F187" s="764"/>
      <c r="G187" s="765"/>
      <c r="J187" s="769"/>
      <c r="K187" s="770"/>
      <c r="L187" s="770"/>
      <c r="M187" s="770"/>
      <c r="N187" s="770"/>
      <c r="O187" s="770"/>
      <c r="P187" s="770"/>
      <c r="Q187" s="770"/>
      <c r="R187" s="771"/>
    </row>
    <row r="188" spans="1:18">
      <c r="A188" s="20" t="s">
        <v>2</v>
      </c>
      <c r="B188" s="18"/>
      <c r="C188" s="763" t="s">
        <v>158</v>
      </c>
      <c r="D188" s="764"/>
      <c r="E188" s="764"/>
      <c r="F188" s="764"/>
      <c r="G188" s="765"/>
      <c r="J188" s="769"/>
      <c r="K188" s="770"/>
      <c r="L188" s="770"/>
      <c r="M188" s="770"/>
      <c r="N188" s="770"/>
      <c r="O188" s="770"/>
      <c r="P188" s="770"/>
      <c r="Q188" s="770"/>
      <c r="R188" s="771"/>
    </row>
    <row r="189" spans="1:18">
      <c r="A189" s="20" t="s">
        <v>3</v>
      </c>
      <c r="B189" s="18"/>
      <c r="C189" s="763">
        <v>6</v>
      </c>
      <c r="D189" s="764"/>
      <c r="E189" s="764"/>
      <c r="F189" s="764"/>
      <c r="G189" s="765"/>
      <c r="J189" s="772"/>
      <c r="K189" s="773"/>
      <c r="L189" s="773"/>
      <c r="M189" s="773"/>
      <c r="N189" s="773"/>
      <c r="O189" s="773"/>
      <c r="P189" s="773"/>
      <c r="Q189" s="773"/>
      <c r="R189" s="774"/>
    </row>
    <row r="190" spans="1:18">
      <c r="A190" s="18"/>
      <c r="B190" s="18"/>
    </row>
    <row r="191" spans="1:18" ht="13.5" thickBot="1">
      <c r="A191" s="18"/>
      <c r="B191" s="18"/>
    </row>
    <row r="192" spans="1:18" ht="15.75" customHeight="1" thickBot="1">
      <c r="A192" s="758" t="s">
        <v>4</v>
      </c>
      <c r="B192" s="3"/>
      <c r="C192" s="738" t="s">
        <v>144</v>
      </c>
      <c r="D192" s="740"/>
      <c r="E192" s="21"/>
      <c r="F192" s="738" t="s">
        <v>145</v>
      </c>
      <c r="G192" s="739"/>
      <c r="H192" s="739"/>
      <c r="I192" s="739"/>
      <c r="J192" s="740"/>
      <c r="K192" s="22"/>
      <c r="L192" s="738" t="s">
        <v>146</v>
      </c>
      <c r="M192" s="739"/>
      <c r="N192" s="739"/>
      <c r="O192" s="740"/>
      <c r="Q192" s="738" t="s">
        <v>147</v>
      </c>
      <c r="R192" s="740"/>
    </row>
    <row r="193" spans="1:18" ht="13.5" customHeight="1" thickBot="1">
      <c r="A193" s="759"/>
      <c r="B193" s="3"/>
      <c r="C193" s="753"/>
      <c r="D193" s="754"/>
      <c r="E193" s="21"/>
      <c r="F193" s="755"/>
      <c r="G193" s="756"/>
      <c r="H193" s="756"/>
      <c r="I193" s="756"/>
      <c r="J193" s="757"/>
      <c r="K193" s="22"/>
      <c r="L193" s="755"/>
      <c r="M193" s="756"/>
      <c r="N193" s="756"/>
      <c r="O193" s="757"/>
      <c r="Q193" s="753"/>
      <c r="R193" s="754"/>
    </row>
    <row r="194" spans="1:18" ht="13.5" customHeight="1" thickBot="1">
      <c r="A194" s="736" t="s">
        <v>5</v>
      </c>
      <c r="B194" s="3"/>
      <c r="C194" s="14" t="s">
        <v>6</v>
      </c>
      <c r="D194" s="14" t="s">
        <v>7</v>
      </c>
      <c r="E194" s="21"/>
      <c r="F194" s="738" t="s">
        <v>28</v>
      </c>
      <c r="G194" s="739"/>
      <c r="H194" s="739"/>
      <c r="I194" s="14" t="s">
        <v>6</v>
      </c>
      <c r="J194" s="14" t="s">
        <v>7</v>
      </c>
      <c r="K194" s="22"/>
      <c r="L194" s="738" t="s">
        <v>8</v>
      </c>
      <c r="M194" s="739"/>
      <c r="N194" s="739"/>
      <c r="O194" s="740"/>
      <c r="Q194" s="14" t="s">
        <v>6</v>
      </c>
      <c r="R194" s="14" t="s">
        <v>7</v>
      </c>
    </row>
    <row r="195" spans="1:18" ht="13.5" customHeight="1" thickBot="1">
      <c r="A195" s="737"/>
      <c r="B195" s="4"/>
      <c r="C195" s="16" t="s">
        <v>12</v>
      </c>
      <c r="D195" s="16" t="s">
        <v>12</v>
      </c>
      <c r="E195" s="23"/>
      <c r="F195" s="16" t="s">
        <v>9</v>
      </c>
      <c r="G195" s="24" t="s">
        <v>10</v>
      </c>
      <c r="H195" s="25" t="s">
        <v>11</v>
      </c>
      <c r="I195" s="16" t="s">
        <v>13</v>
      </c>
      <c r="J195" s="16" t="s">
        <v>13</v>
      </c>
      <c r="K195" s="22"/>
      <c r="L195" s="16" t="s">
        <v>9</v>
      </c>
      <c r="M195" s="24" t="s">
        <v>10</v>
      </c>
      <c r="N195" s="25" t="s">
        <v>11</v>
      </c>
      <c r="O195" s="15" t="s">
        <v>6</v>
      </c>
      <c r="Q195" s="16" t="s">
        <v>12</v>
      </c>
      <c r="R195" s="16" t="s">
        <v>12</v>
      </c>
    </row>
    <row r="196" spans="1:18" ht="30" customHeight="1">
      <c r="A196" s="26" t="s">
        <v>241</v>
      </c>
      <c r="C196" s="294">
        <v>0</v>
      </c>
      <c r="D196" s="27">
        <f>IF(ISERROR(C196/C201),"-",C196/C201)</f>
        <v>0</v>
      </c>
      <c r="E196" s="22"/>
      <c r="F196" s="294">
        <f>0</f>
        <v>0</v>
      </c>
      <c r="G196" s="296">
        <v>0</v>
      </c>
      <c r="H196" s="296">
        <v>0</v>
      </c>
      <c r="I196" s="28">
        <f t="shared" ref="I196:I201" si="28">F196+G196+H196</f>
        <v>0</v>
      </c>
      <c r="J196" s="27">
        <f>IF(ISERROR(I196/I201),"-",I196/I201)</f>
        <v>0</v>
      </c>
      <c r="K196" s="22"/>
      <c r="L196" s="29" t="str">
        <f t="shared" ref="L196:L201" si="29">IF(ISERROR(F196/$C196),"-",F196/$C196)</f>
        <v>-</v>
      </c>
      <c r="M196" s="89" t="str">
        <f t="shared" ref="M196:M201" si="30">IF(ISERROR(G196/$C196),"-",G196/$C196)</f>
        <v>-</v>
      </c>
      <c r="N196" s="89" t="str">
        <f t="shared" ref="N196:N201" si="31">IF(ISERROR(H196/$C196),"-",H196/$C196)</f>
        <v>-</v>
      </c>
      <c r="O196" s="27" t="str">
        <f t="shared" ref="O196:O201" si="32">IF(ISERROR(I196/$C196),"-",I196/$C196)</f>
        <v>-</v>
      </c>
      <c r="Q196" s="294"/>
      <c r="R196" s="27" t="str">
        <f>IF(ISERROR(Q196/Q201),"-",Q196/Q201)</f>
        <v>-</v>
      </c>
    </row>
    <row r="197" spans="1:18" ht="30" customHeight="1">
      <c r="A197" s="32" t="s">
        <v>179</v>
      </c>
      <c r="C197" s="295">
        <f>[3]Budget!$C$19</f>
        <v>32045</v>
      </c>
      <c r="D197" s="30">
        <f>IF(ISERROR(C197/C201),"-",C197/C201)</f>
        <v>1</v>
      </c>
      <c r="E197" s="22"/>
      <c r="F197" s="295">
        <f>SUM('[1]Expenditure Details '!$AM$166:$AM$177)+SUM('[1]Expenditure Details '!$AM$179:$AM$180)+SUM('[1]Expenditure Details '!$AM$182:$AM$184)+'[1]Expenditure Details '!$AM$178</f>
        <v>24896.22</v>
      </c>
      <c r="G197" s="297">
        <v>0</v>
      </c>
      <c r="H197" s="297">
        <v>0</v>
      </c>
      <c r="I197" s="81">
        <f t="shared" si="28"/>
        <v>24896.22</v>
      </c>
      <c r="J197" s="30">
        <f>IF(ISERROR(I197/I201),"-",I197/I201)</f>
        <v>0.8043976537747487</v>
      </c>
      <c r="K197" s="22"/>
      <c r="L197" s="86">
        <f t="shared" si="29"/>
        <v>0.77691433921048525</v>
      </c>
      <c r="M197" s="82">
        <f t="shared" si="30"/>
        <v>0</v>
      </c>
      <c r="N197" s="82">
        <f t="shared" si="31"/>
        <v>0</v>
      </c>
      <c r="O197" s="30">
        <f t="shared" si="32"/>
        <v>0.77691433921048525</v>
      </c>
      <c r="Q197" s="295"/>
      <c r="R197" s="30" t="str">
        <f>IF(ISERROR(Q197/Q201),"-",Q197/Q201)</f>
        <v>-</v>
      </c>
    </row>
    <row r="198" spans="1:18" ht="30" customHeight="1">
      <c r="A198" s="32" t="s">
        <v>14</v>
      </c>
      <c r="C198" s="295">
        <v>0</v>
      </c>
      <c r="D198" s="30">
        <f>IF(ISERROR(C198/C201),"-",C198/C201)</f>
        <v>0</v>
      </c>
      <c r="E198" s="22"/>
      <c r="F198" s="295">
        <v>0</v>
      </c>
      <c r="G198" s="297">
        <v>0</v>
      </c>
      <c r="H198" s="297">
        <v>0</v>
      </c>
      <c r="I198" s="81">
        <f t="shared" si="28"/>
        <v>0</v>
      </c>
      <c r="J198" s="30">
        <f>IF(ISERROR(I198/I201),"-",I198/I201)</f>
        <v>0</v>
      </c>
      <c r="K198" s="22"/>
      <c r="L198" s="86" t="str">
        <f t="shared" si="29"/>
        <v>-</v>
      </c>
      <c r="M198" s="82" t="str">
        <f t="shared" si="30"/>
        <v>-</v>
      </c>
      <c r="N198" s="82" t="str">
        <f t="shared" si="31"/>
        <v>-</v>
      </c>
      <c r="O198" s="30" t="str">
        <f t="shared" si="32"/>
        <v>-</v>
      </c>
      <c r="Q198" s="295"/>
      <c r="R198" s="30" t="str">
        <f>IF(ISERROR(Q198/Q201),"-",Q198/Q201)</f>
        <v>-</v>
      </c>
    </row>
    <row r="199" spans="1:18" ht="30" customHeight="1">
      <c r="A199" s="32" t="s">
        <v>15</v>
      </c>
      <c r="C199" s="295">
        <v>0</v>
      </c>
      <c r="D199" s="30">
        <f>IF(ISERROR(C199/C201),"-",C199/C201)</f>
        <v>0</v>
      </c>
      <c r="E199" s="22"/>
      <c r="F199" s="295">
        <v>0</v>
      </c>
      <c r="G199" s="297">
        <v>0</v>
      </c>
      <c r="H199" s="297">
        <v>0</v>
      </c>
      <c r="I199" s="81">
        <f t="shared" si="28"/>
        <v>0</v>
      </c>
      <c r="J199" s="30">
        <f>IF(ISERROR(I199/I201),"-",I199/I201)</f>
        <v>0</v>
      </c>
      <c r="K199" s="22"/>
      <c r="L199" s="86" t="str">
        <f t="shared" si="29"/>
        <v>-</v>
      </c>
      <c r="M199" s="82" t="str">
        <f t="shared" si="30"/>
        <v>-</v>
      </c>
      <c r="N199" s="82" t="str">
        <f t="shared" si="31"/>
        <v>-</v>
      </c>
      <c r="O199" s="30" t="str">
        <f t="shared" si="32"/>
        <v>-</v>
      </c>
      <c r="Q199" s="295"/>
      <c r="R199" s="30" t="str">
        <f>IF(ISERROR(Q199/Q201),"-",Q199/Q201)</f>
        <v>-</v>
      </c>
    </row>
    <row r="200" spans="1:18" ht="30" customHeight="1" thickBot="1">
      <c r="A200" s="33" t="s">
        <v>17</v>
      </c>
      <c r="C200" s="295">
        <v>0</v>
      </c>
      <c r="D200" s="30">
        <f>IF(ISERROR(C200/C201),"-",C200/C201)</f>
        <v>0</v>
      </c>
      <c r="E200" s="22"/>
      <c r="F200" s="295">
        <f>SUM('[1]Expenditure Details '!$AM$185:$AM$193)</f>
        <v>6053.9199999999992</v>
      </c>
      <c r="G200" s="297">
        <v>0</v>
      </c>
      <c r="H200" s="297">
        <v>0</v>
      </c>
      <c r="I200" s="81">
        <f t="shared" si="28"/>
        <v>6053.9199999999992</v>
      </c>
      <c r="J200" s="30">
        <f>IF(ISERROR(I200/I201),"-",I200/I201)</f>
        <v>0.1956023462252513</v>
      </c>
      <c r="K200" s="22"/>
      <c r="L200" s="86" t="str">
        <f t="shared" si="29"/>
        <v>-</v>
      </c>
      <c r="M200" s="82" t="str">
        <f t="shared" si="30"/>
        <v>-</v>
      </c>
      <c r="N200" s="82" t="str">
        <f t="shared" si="31"/>
        <v>-</v>
      </c>
      <c r="O200" s="30" t="str">
        <f t="shared" si="32"/>
        <v>-</v>
      </c>
      <c r="Q200" s="295"/>
      <c r="R200" s="30" t="str">
        <f>IF(ISERROR(Q200/Q201),"-",Q200/Q201)</f>
        <v>-</v>
      </c>
    </row>
    <row r="201" spans="1:18" ht="30" customHeight="1" thickBot="1">
      <c r="A201" s="34" t="s">
        <v>18</v>
      </c>
      <c r="C201" s="83">
        <f>SUM(C196:C200)</f>
        <v>32045</v>
      </c>
      <c r="D201" s="84">
        <f>SUM(D196:D200)</f>
        <v>1</v>
      </c>
      <c r="E201" s="22"/>
      <c r="F201" s="83">
        <f>SUM(F196:F200)</f>
        <v>30950.14</v>
      </c>
      <c r="G201" s="85">
        <f>SUM(G196:G200)</f>
        <v>0</v>
      </c>
      <c r="H201" s="85">
        <f>SUM(H196:H200)</f>
        <v>0</v>
      </c>
      <c r="I201" s="85">
        <f t="shared" si="28"/>
        <v>30950.14</v>
      </c>
      <c r="J201" s="84">
        <f>SUM(J196:J200)</f>
        <v>1</v>
      </c>
      <c r="K201" s="22"/>
      <c r="L201" s="87">
        <f t="shared" si="29"/>
        <v>0.96583367139959431</v>
      </c>
      <c r="M201" s="88">
        <f t="shared" si="30"/>
        <v>0</v>
      </c>
      <c r="N201" s="88">
        <f t="shared" si="31"/>
        <v>0</v>
      </c>
      <c r="O201" s="84">
        <f t="shared" si="32"/>
        <v>0.96583367139959431</v>
      </c>
      <c r="Q201" s="83">
        <f>SUM(Q196:Q200)</f>
        <v>0</v>
      </c>
      <c r="R201" s="84">
        <f>SUM(R196:R200)</f>
        <v>0</v>
      </c>
    </row>
    <row r="202" spans="1:18" ht="13.5" customHeight="1"/>
    <row r="203" spans="1:18" ht="13.5" customHeight="1" thickBot="1"/>
    <row r="204" spans="1:18" ht="15.75" customHeight="1" thickBot="1">
      <c r="A204" s="741" t="s">
        <v>19</v>
      </c>
      <c r="B204" s="3"/>
      <c r="C204" s="743">
        <v>2010</v>
      </c>
      <c r="D204" s="744"/>
      <c r="E204" s="35"/>
      <c r="F204" s="36">
        <v>2011</v>
      </c>
      <c r="G204" s="37"/>
      <c r="H204" s="745" t="s">
        <v>148</v>
      </c>
      <c r="I204" s="746"/>
      <c r="J204" s="747"/>
      <c r="K204" s="37"/>
      <c r="L204" s="37"/>
      <c r="M204" s="37"/>
      <c r="N204" s="37"/>
      <c r="O204" s="37"/>
    </row>
    <row r="205" spans="1:18" ht="13.5" thickBot="1">
      <c r="A205" s="742"/>
      <c r="B205" s="3"/>
      <c r="C205" s="751"/>
      <c r="D205" s="752"/>
      <c r="F205" s="388"/>
      <c r="G205" s="74"/>
      <c r="H205" s="748"/>
      <c r="I205" s="749"/>
      <c r="J205" s="750"/>
      <c r="K205" s="75"/>
      <c r="L205" s="80"/>
      <c r="M205" s="80"/>
    </row>
    <row r="206" spans="1:18" ht="30.75" customHeight="1" thickBot="1">
      <c r="A206" s="38" t="s">
        <v>5</v>
      </c>
      <c r="B206" s="4"/>
      <c r="C206" s="39" t="s">
        <v>20</v>
      </c>
      <c r="D206" s="40" t="s">
        <v>21</v>
      </c>
      <c r="F206" s="41" t="s">
        <v>20</v>
      </c>
      <c r="G206" s="42"/>
      <c r="H206" s="727" t="s">
        <v>70</v>
      </c>
      <c r="I206" s="728"/>
      <c r="J206" s="729"/>
      <c r="K206" s="42"/>
      <c r="L206" s="80"/>
      <c r="M206" s="80"/>
    </row>
    <row r="207" spans="1:18" ht="30" customHeight="1">
      <c r="A207" s="12" t="str">
        <f>$A$27</f>
        <v>Lifetime Demand Savings (kW*Yrs)</v>
      </c>
      <c r="C207" s="298">
        <v>0</v>
      </c>
      <c r="D207" s="299">
        <v>0</v>
      </c>
      <c r="F207" s="304">
        <v>0</v>
      </c>
      <c r="G207" s="42"/>
      <c r="H207" s="730" t="s">
        <v>53</v>
      </c>
      <c r="I207" s="731"/>
      <c r="J207" s="307">
        <f>[3]Budget!$D$19</f>
        <v>1</v>
      </c>
      <c r="K207" s="42"/>
      <c r="L207" s="43"/>
      <c r="M207" s="44"/>
    </row>
    <row r="208" spans="1:18" ht="30" customHeight="1">
      <c r="A208" s="1" t="str">
        <f>$A$28</f>
        <v>Lifetime Energy Savings (kWh)</v>
      </c>
      <c r="C208" s="300">
        <v>0</v>
      </c>
      <c r="D208" s="301">
        <v>0</v>
      </c>
      <c r="F208" s="305">
        <v>0</v>
      </c>
      <c r="G208" s="42"/>
      <c r="H208" s="732" t="s">
        <v>46</v>
      </c>
      <c r="I208" s="733"/>
      <c r="J208" s="308">
        <f>[7]AR!$B$81</f>
        <v>0</v>
      </c>
      <c r="K208" s="42"/>
      <c r="L208" s="78"/>
      <c r="M208" s="44"/>
    </row>
    <row r="209" spans="1:18" ht="30" customHeight="1" thickBot="1">
      <c r="A209" s="45" t="s">
        <v>22</v>
      </c>
      <c r="C209" s="302">
        <v>0</v>
      </c>
      <c r="D209" s="303">
        <v>0</v>
      </c>
      <c r="F209" s="306">
        <v>0</v>
      </c>
      <c r="H209" s="734" t="s">
        <v>83</v>
      </c>
      <c r="I209" s="735"/>
      <c r="J209" s="309">
        <v>0</v>
      </c>
      <c r="L209" s="79"/>
      <c r="M209" s="42"/>
    </row>
    <row r="211" spans="1:18" ht="13.5" thickBot="1">
      <c r="A211" s="227"/>
      <c r="B211" s="227"/>
      <c r="C211" s="227"/>
      <c r="D211" s="227"/>
      <c r="E211" s="227"/>
      <c r="F211" s="227"/>
      <c r="G211" s="227"/>
      <c r="H211" s="227"/>
      <c r="I211" s="227"/>
      <c r="J211" s="227"/>
      <c r="K211" s="227"/>
      <c r="L211" s="227"/>
      <c r="M211" s="227"/>
      <c r="N211" s="227"/>
      <c r="O211" s="227"/>
      <c r="P211" s="227"/>
      <c r="Q211" s="227"/>
      <c r="R211" s="227"/>
    </row>
    <row r="213" spans="1:18" ht="27.75">
      <c r="A213" s="760" t="str">
        <f>"Energy Efficiency Program Detail - "&amp;C216</f>
        <v>Energy Efficiency Program Detail - CFL's (Quick Start ONLY)</v>
      </c>
      <c r="B213" s="761"/>
      <c r="C213" s="761"/>
      <c r="D213" s="761"/>
      <c r="E213" s="761"/>
      <c r="F213" s="761"/>
      <c r="G213" s="761"/>
      <c r="H213" s="761"/>
      <c r="I213" s="761"/>
      <c r="J213" s="761"/>
      <c r="K213" s="761"/>
      <c r="L213" s="761"/>
      <c r="M213" s="761"/>
      <c r="N213" s="761"/>
      <c r="O213" s="761"/>
      <c r="P213" s="761"/>
      <c r="Q213" s="761"/>
      <c r="R213" s="762"/>
    </row>
    <row r="214" spans="1:18">
      <c r="A214" s="17"/>
      <c r="B214" s="17"/>
      <c r="C214" s="17"/>
      <c r="D214" s="17"/>
      <c r="E214" s="17"/>
      <c r="F214" s="17"/>
      <c r="G214" s="17"/>
      <c r="H214" s="17"/>
      <c r="I214" s="17"/>
      <c r="J214" s="17"/>
      <c r="K214" s="17"/>
      <c r="L214" s="17"/>
      <c r="M214" s="17"/>
      <c r="N214" s="17"/>
      <c r="O214" s="17"/>
    </row>
    <row r="215" spans="1:18">
      <c r="A215" s="18"/>
      <c r="B215" s="18"/>
    </row>
    <row r="216" spans="1:18" ht="12.75" customHeight="1">
      <c r="A216" s="19" t="s">
        <v>0</v>
      </c>
      <c r="B216" s="18"/>
      <c r="C216" s="763" t="s">
        <v>369</v>
      </c>
      <c r="D216" s="764"/>
      <c r="E216" s="764"/>
      <c r="F216" s="764"/>
      <c r="G216" s="765"/>
      <c r="H216" s="3" t="s">
        <v>82</v>
      </c>
      <c r="J216" s="766" t="s">
        <v>387</v>
      </c>
      <c r="K216" s="767"/>
      <c r="L216" s="767"/>
      <c r="M216" s="767"/>
      <c r="N216" s="767"/>
      <c r="O216" s="767"/>
      <c r="P216" s="767"/>
      <c r="Q216" s="767"/>
      <c r="R216" s="768"/>
    </row>
    <row r="217" spans="1:18">
      <c r="A217" s="20" t="s">
        <v>1</v>
      </c>
      <c r="B217" s="18"/>
      <c r="C217" s="763" t="s">
        <v>234</v>
      </c>
      <c r="D217" s="764"/>
      <c r="E217" s="764"/>
      <c r="F217" s="764"/>
      <c r="G217" s="765"/>
      <c r="J217" s="769"/>
      <c r="K217" s="770"/>
      <c r="L217" s="770"/>
      <c r="M217" s="770"/>
      <c r="N217" s="770"/>
      <c r="O217" s="770"/>
      <c r="P217" s="770"/>
      <c r="Q217" s="770"/>
      <c r="R217" s="771"/>
    </row>
    <row r="218" spans="1:18">
      <c r="A218" s="20" t="s">
        <v>2</v>
      </c>
      <c r="B218" s="18"/>
      <c r="C218" s="763" t="s">
        <v>158</v>
      </c>
      <c r="D218" s="764"/>
      <c r="E218" s="764"/>
      <c r="F218" s="764"/>
      <c r="G218" s="765"/>
      <c r="J218" s="769"/>
      <c r="K218" s="770"/>
      <c r="L218" s="770"/>
      <c r="M218" s="770"/>
      <c r="N218" s="770"/>
      <c r="O218" s="770"/>
      <c r="P218" s="770"/>
      <c r="Q218" s="770"/>
      <c r="R218" s="771"/>
    </row>
    <row r="219" spans="1:18">
      <c r="A219" s="20" t="s">
        <v>3</v>
      </c>
      <c r="B219" s="18"/>
      <c r="C219" s="763">
        <v>7</v>
      </c>
      <c r="D219" s="764"/>
      <c r="E219" s="764"/>
      <c r="F219" s="764"/>
      <c r="G219" s="765"/>
      <c r="J219" s="772"/>
      <c r="K219" s="773"/>
      <c r="L219" s="773"/>
      <c r="M219" s="773"/>
      <c r="N219" s="773"/>
      <c r="O219" s="773"/>
      <c r="P219" s="773"/>
      <c r="Q219" s="773"/>
      <c r="R219" s="774"/>
    </row>
    <row r="220" spans="1:18">
      <c r="A220" s="18"/>
      <c r="B220" s="18"/>
    </row>
    <row r="221" spans="1:18" ht="13.5" thickBot="1">
      <c r="A221" s="18"/>
      <c r="B221" s="18"/>
    </row>
    <row r="222" spans="1:18" ht="15.75" customHeight="1" thickBot="1">
      <c r="A222" s="758" t="s">
        <v>4</v>
      </c>
      <c r="B222" s="3"/>
      <c r="C222" s="738" t="s">
        <v>144</v>
      </c>
      <c r="D222" s="740"/>
      <c r="E222" s="21"/>
      <c r="F222" s="738" t="s">
        <v>145</v>
      </c>
      <c r="G222" s="739"/>
      <c r="H222" s="739"/>
      <c r="I222" s="739"/>
      <c r="J222" s="740"/>
      <c r="K222" s="22"/>
      <c r="L222" s="738" t="s">
        <v>146</v>
      </c>
      <c r="M222" s="739"/>
      <c r="N222" s="739"/>
      <c r="O222" s="740"/>
      <c r="Q222" s="738" t="s">
        <v>147</v>
      </c>
      <c r="R222" s="740"/>
    </row>
    <row r="223" spans="1:18" ht="13.5" customHeight="1" thickBot="1">
      <c r="A223" s="759"/>
      <c r="B223" s="3"/>
      <c r="C223" s="753"/>
      <c r="D223" s="754"/>
      <c r="E223" s="21"/>
      <c r="F223" s="755"/>
      <c r="G223" s="756"/>
      <c r="H223" s="756"/>
      <c r="I223" s="756"/>
      <c r="J223" s="757"/>
      <c r="K223" s="22"/>
      <c r="L223" s="755"/>
      <c r="M223" s="756"/>
      <c r="N223" s="756"/>
      <c r="O223" s="757"/>
      <c r="Q223" s="753"/>
      <c r="R223" s="754"/>
    </row>
    <row r="224" spans="1:18" ht="13.5" customHeight="1" thickBot="1">
      <c r="A224" s="736" t="s">
        <v>5</v>
      </c>
      <c r="B224" s="3"/>
      <c r="C224" s="14" t="s">
        <v>6</v>
      </c>
      <c r="D224" s="14" t="s">
        <v>7</v>
      </c>
      <c r="E224" s="21"/>
      <c r="F224" s="738" t="s">
        <v>28</v>
      </c>
      <c r="G224" s="739"/>
      <c r="H224" s="739"/>
      <c r="I224" s="14" t="s">
        <v>6</v>
      </c>
      <c r="J224" s="14" t="s">
        <v>7</v>
      </c>
      <c r="K224" s="22"/>
      <c r="L224" s="738" t="s">
        <v>8</v>
      </c>
      <c r="M224" s="739"/>
      <c r="N224" s="739"/>
      <c r="O224" s="740"/>
      <c r="Q224" s="14" t="s">
        <v>6</v>
      </c>
      <c r="R224" s="14" t="s">
        <v>7</v>
      </c>
    </row>
    <row r="225" spans="1:18" ht="13.5" customHeight="1" thickBot="1">
      <c r="A225" s="737"/>
      <c r="B225" s="4"/>
      <c r="C225" s="16" t="s">
        <v>12</v>
      </c>
      <c r="D225" s="16" t="s">
        <v>12</v>
      </c>
      <c r="E225" s="23"/>
      <c r="F225" s="16" t="s">
        <v>9</v>
      </c>
      <c r="G225" s="24" t="s">
        <v>10</v>
      </c>
      <c r="H225" s="25" t="s">
        <v>11</v>
      </c>
      <c r="I225" s="16" t="s">
        <v>13</v>
      </c>
      <c r="J225" s="16" t="s">
        <v>13</v>
      </c>
      <c r="K225" s="22"/>
      <c r="L225" s="16" t="s">
        <v>9</v>
      </c>
      <c r="M225" s="24" t="s">
        <v>10</v>
      </c>
      <c r="N225" s="25" t="s">
        <v>11</v>
      </c>
      <c r="O225" s="15" t="s">
        <v>6</v>
      </c>
      <c r="Q225" s="16" t="s">
        <v>12</v>
      </c>
      <c r="R225" s="16" t="s">
        <v>12</v>
      </c>
    </row>
    <row r="226" spans="1:18" ht="30" customHeight="1">
      <c r="A226" s="26" t="s">
        <v>241</v>
      </c>
      <c r="C226" s="294"/>
      <c r="D226" s="27" t="str">
        <f>IF(ISERROR(C226/C231),"-",C226/C231)</f>
        <v>-</v>
      </c>
      <c r="E226" s="22"/>
      <c r="F226" s="294"/>
      <c r="G226" s="296"/>
      <c r="H226" s="296"/>
      <c r="I226" s="28">
        <f t="shared" ref="I226:I231" si="33">F226+G226+H226</f>
        <v>0</v>
      </c>
      <c r="J226" s="27" t="str">
        <f>IF(ISERROR(I226/I231),"-",I226/I231)</f>
        <v>-</v>
      </c>
      <c r="K226" s="22"/>
      <c r="L226" s="29" t="str">
        <f t="shared" ref="L226:L231" si="34">IF(ISERROR(F226/$C226),"-",F226/$C226)</f>
        <v>-</v>
      </c>
      <c r="M226" s="89" t="str">
        <f t="shared" ref="M226:M231" si="35">IF(ISERROR(G226/$C226),"-",G226/$C226)</f>
        <v>-</v>
      </c>
      <c r="N226" s="89" t="str">
        <f t="shared" ref="N226:N231" si="36">IF(ISERROR(H226/$C226),"-",H226/$C226)</f>
        <v>-</v>
      </c>
      <c r="O226" s="27" t="str">
        <f t="shared" ref="O226:O231" si="37">IF(ISERROR(I226/$C226),"-",I226/$C226)</f>
        <v>-</v>
      </c>
      <c r="Q226" s="294"/>
      <c r="R226" s="27" t="str">
        <f>IF(ISERROR(Q226/Q231),"-",Q226/Q231)</f>
        <v>-</v>
      </c>
    </row>
    <row r="227" spans="1:18" ht="30" customHeight="1">
      <c r="A227" s="32" t="s">
        <v>179</v>
      </c>
      <c r="C227" s="295"/>
      <c r="D227" s="30" t="str">
        <f>IF(ISERROR(C227/C231),"-",C227/C231)</f>
        <v>-</v>
      </c>
      <c r="E227" s="22"/>
      <c r="F227" s="295"/>
      <c r="G227" s="297"/>
      <c r="H227" s="297"/>
      <c r="I227" s="81">
        <f t="shared" si="33"/>
        <v>0</v>
      </c>
      <c r="J227" s="30" t="str">
        <f>IF(ISERROR(I227/I231),"-",I227/I231)</f>
        <v>-</v>
      </c>
      <c r="K227" s="22"/>
      <c r="L227" s="86" t="str">
        <f t="shared" si="34"/>
        <v>-</v>
      </c>
      <c r="M227" s="82" t="str">
        <f t="shared" si="35"/>
        <v>-</v>
      </c>
      <c r="N227" s="82" t="str">
        <f t="shared" si="36"/>
        <v>-</v>
      </c>
      <c r="O227" s="30" t="str">
        <f t="shared" si="37"/>
        <v>-</v>
      </c>
      <c r="Q227" s="295"/>
      <c r="R227" s="30" t="str">
        <f>IF(ISERROR(Q227/Q231),"-",Q227/Q231)</f>
        <v>-</v>
      </c>
    </row>
    <row r="228" spans="1:18" ht="30" customHeight="1">
      <c r="A228" s="32" t="s">
        <v>14</v>
      </c>
      <c r="C228" s="295"/>
      <c r="D228" s="30" t="str">
        <f>IF(ISERROR(C228/C231),"-",C228/C231)</f>
        <v>-</v>
      </c>
      <c r="E228" s="22"/>
      <c r="F228" s="295"/>
      <c r="G228" s="297"/>
      <c r="H228" s="297"/>
      <c r="I228" s="81">
        <f t="shared" si="33"/>
        <v>0</v>
      </c>
      <c r="J228" s="30" t="str">
        <f>IF(ISERROR(I228/I231),"-",I228/I231)</f>
        <v>-</v>
      </c>
      <c r="K228" s="22"/>
      <c r="L228" s="86" t="str">
        <f t="shared" si="34"/>
        <v>-</v>
      </c>
      <c r="M228" s="82" t="str">
        <f t="shared" si="35"/>
        <v>-</v>
      </c>
      <c r="N228" s="82" t="str">
        <f t="shared" si="36"/>
        <v>-</v>
      </c>
      <c r="O228" s="30" t="str">
        <f t="shared" si="37"/>
        <v>-</v>
      </c>
      <c r="Q228" s="295"/>
      <c r="R228" s="30" t="str">
        <f>IF(ISERROR(Q228/Q231),"-",Q228/Q231)</f>
        <v>-</v>
      </c>
    </row>
    <row r="229" spans="1:18" ht="30" customHeight="1">
      <c r="A229" s="32" t="s">
        <v>15</v>
      </c>
      <c r="C229" s="295"/>
      <c r="D229" s="30" t="str">
        <f>IF(ISERROR(C229/C231),"-",C229/C231)</f>
        <v>-</v>
      </c>
      <c r="E229" s="22"/>
      <c r="F229" s="295"/>
      <c r="G229" s="297"/>
      <c r="H229" s="297"/>
      <c r="I229" s="81">
        <f t="shared" si="33"/>
        <v>0</v>
      </c>
      <c r="J229" s="30" t="str">
        <f>IF(ISERROR(I229/I231),"-",I229/I231)</f>
        <v>-</v>
      </c>
      <c r="K229" s="22"/>
      <c r="L229" s="86" t="str">
        <f t="shared" si="34"/>
        <v>-</v>
      </c>
      <c r="M229" s="82" t="str">
        <f t="shared" si="35"/>
        <v>-</v>
      </c>
      <c r="N229" s="82" t="str">
        <f t="shared" si="36"/>
        <v>-</v>
      </c>
      <c r="O229" s="30" t="str">
        <f t="shared" si="37"/>
        <v>-</v>
      </c>
      <c r="Q229" s="295"/>
      <c r="R229" s="30" t="str">
        <f>IF(ISERROR(Q229/Q231),"-",Q229/Q231)</f>
        <v>-</v>
      </c>
    </row>
    <row r="230" spans="1:18" ht="30" customHeight="1" thickBot="1">
      <c r="A230" s="33" t="s">
        <v>17</v>
      </c>
      <c r="C230" s="295"/>
      <c r="D230" s="30" t="str">
        <f>IF(ISERROR(C230/C231),"-",C230/C231)</f>
        <v>-</v>
      </c>
      <c r="E230" s="22"/>
      <c r="F230" s="295"/>
      <c r="G230" s="297"/>
      <c r="H230" s="297"/>
      <c r="I230" s="81">
        <f t="shared" si="33"/>
        <v>0</v>
      </c>
      <c r="J230" s="30" t="str">
        <f>IF(ISERROR(I230/I231),"-",I230/I231)</f>
        <v>-</v>
      </c>
      <c r="K230" s="22"/>
      <c r="L230" s="86" t="str">
        <f t="shared" si="34"/>
        <v>-</v>
      </c>
      <c r="M230" s="82" t="str">
        <f t="shared" si="35"/>
        <v>-</v>
      </c>
      <c r="N230" s="82" t="str">
        <f t="shared" si="36"/>
        <v>-</v>
      </c>
      <c r="O230" s="30" t="str">
        <f t="shared" si="37"/>
        <v>-</v>
      </c>
      <c r="Q230" s="295"/>
      <c r="R230" s="30" t="str">
        <f>IF(ISERROR(Q230/Q231),"-",Q230/Q231)</f>
        <v>-</v>
      </c>
    </row>
    <row r="231" spans="1:18" ht="30" customHeight="1" thickBot="1">
      <c r="A231" s="34" t="s">
        <v>18</v>
      </c>
      <c r="C231" s="83">
        <f>SUM(C226:C230)</f>
        <v>0</v>
      </c>
      <c r="D231" s="84">
        <f>SUM(D226:D230)</f>
        <v>0</v>
      </c>
      <c r="E231" s="22"/>
      <c r="F231" s="83">
        <f>SUM(F226:F230)</f>
        <v>0</v>
      </c>
      <c r="G231" s="85">
        <f>SUM(G226:G230)</f>
        <v>0</v>
      </c>
      <c r="H231" s="85">
        <f>SUM(H226:H230)</f>
        <v>0</v>
      </c>
      <c r="I231" s="85">
        <f t="shared" si="33"/>
        <v>0</v>
      </c>
      <c r="J231" s="84">
        <f>SUM(J226:J230)</f>
        <v>0</v>
      </c>
      <c r="K231" s="22"/>
      <c r="L231" s="87" t="str">
        <f t="shared" si="34"/>
        <v>-</v>
      </c>
      <c r="M231" s="88" t="str">
        <f t="shared" si="35"/>
        <v>-</v>
      </c>
      <c r="N231" s="88" t="str">
        <f t="shared" si="36"/>
        <v>-</v>
      </c>
      <c r="O231" s="84" t="str">
        <f t="shared" si="37"/>
        <v>-</v>
      </c>
      <c r="Q231" s="83">
        <f>SUM(Q226:Q230)</f>
        <v>0</v>
      </c>
      <c r="R231" s="84">
        <f>SUM(R226:R230)</f>
        <v>0</v>
      </c>
    </row>
    <row r="232" spans="1:18" ht="13.5" customHeight="1"/>
    <row r="233" spans="1:18" ht="13.5" customHeight="1" thickBot="1"/>
    <row r="234" spans="1:18" ht="15.75" customHeight="1" thickBot="1">
      <c r="A234" s="741" t="s">
        <v>19</v>
      </c>
      <c r="B234" s="3"/>
      <c r="C234" s="743">
        <v>2010</v>
      </c>
      <c r="D234" s="744"/>
      <c r="E234" s="35"/>
      <c r="F234" s="36">
        <v>2011</v>
      </c>
      <c r="G234" s="37"/>
      <c r="H234" s="745" t="s">
        <v>148</v>
      </c>
      <c r="I234" s="746"/>
      <c r="J234" s="747"/>
      <c r="K234" s="37"/>
      <c r="L234" s="37"/>
      <c r="M234" s="37"/>
      <c r="N234" s="37"/>
      <c r="O234" s="37"/>
    </row>
    <row r="235" spans="1:18" ht="13.5" thickBot="1">
      <c r="A235" s="742"/>
      <c r="B235" s="3"/>
      <c r="C235" s="751"/>
      <c r="D235" s="752"/>
      <c r="F235" s="388"/>
      <c r="G235" s="74"/>
      <c r="H235" s="748"/>
      <c r="I235" s="749"/>
      <c r="J235" s="750"/>
      <c r="K235" s="75"/>
      <c r="L235" s="80"/>
      <c r="M235" s="80"/>
    </row>
    <row r="236" spans="1:18" ht="30.75" customHeight="1" thickBot="1">
      <c r="A236" s="38" t="s">
        <v>5</v>
      </c>
      <c r="B236" s="4"/>
      <c r="C236" s="39" t="s">
        <v>20</v>
      </c>
      <c r="D236" s="40" t="s">
        <v>21</v>
      </c>
      <c r="F236" s="41" t="s">
        <v>20</v>
      </c>
      <c r="G236" s="42"/>
      <c r="H236" s="727" t="s">
        <v>70</v>
      </c>
      <c r="I236" s="728"/>
      <c r="J236" s="729"/>
      <c r="K236" s="42"/>
      <c r="L236" s="80"/>
      <c r="M236" s="80"/>
    </row>
    <row r="237" spans="1:18" ht="30" customHeight="1">
      <c r="A237" s="12" t="str">
        <f>$A$27</f>
        <v>Lifetime Demand Savings (kW*Yrs)</v>
      </c>
      <c r="C237" s="298"/>
      <c r="D237" s="299"/>
      <c r="F237" s="304"/>
      <c r="G237" s="42"/>
      <c r="H237" s="730" t="s">
        <v>53</v>
      </c>
      <c r="I237" s="731"/>
      <c r="J237" s="307"/>
      <c r="K237" s="42"/>
      <c r="L237" s="43"/>
      <c r="M237" s="44"/>
    </row>
    <row r="238" spans="1:18" ht="30" customHeight="1">
      <c r="A238" s="1" t="str">
        <f>$A$28</f>
        <v>Lifetime Energy Savings (kWh)</v>
      </c>
      <c r="C238" s="300"/>
      <c r="D238" s="301"/>
      <c r="F238" s="305"/>
      <c r="G238" s="42"/>
      <c r="H238" s="732" t="s">
        <v>46</v>
      </c>
      <c r="I238" s="733"/>
      <c r="J238" s="308"/>
      <c r="K238" s="42"/>
      <c r="L238" s="78"/>
      <c r="M238" s="44"/>
    </row>
    <row r="239" spans="1:18" ht="30" customHeight="1" thickBot="1">
      <c r="A239" s="45" t="s">
        <v>22</v>
      </c>
      <c r="C239" s="302"/>
      <c r="D239" s="303"/>
      <c r="F239" s="306"/>
      <c r="H239" s="734" t="s">
        <v>83</v>
      </c>
      <c r="I239" s="735"/>
      <c r="J239" s="309"/>
      <c r="L239" s="79"/>
      <c r="M239" s="42"/>
    </row>
    <row r="241" spans="1:18" ht="13.5" thickBot="1">
      <c r="A241" s="227"/>
      <c r="B241" s="227"/>
      <c r="C241" s="227"/>
      <c r="D241" s="227"/>
      <c r="E241" s="227"/>
      <c r="F241" s="227"/>
      <c r="G241" s="227"/>
      <c r="H241" s="227"/>
      <c r="I241" s="227"/>
      <c r="J241" s="227"/>
      <c r="K241" s="227"/>
      <c r="L241" s="227"/>
      <c r="M241" s="227"/>
      <c r="N241" s="227"/>
      <c r="O241" s="227"/>
      <c r="P241" s="227"/>
      <c r="Q241" s="227"/>
      <c r="R241" s="227"/>
    </row>
    <row r="243" spans="1:18" ht="27.75">
      <c r="A243" s="760" t="str">
        <f>"Energy Efficiency Program Detail - "&amp;C246</f>
        <v xml:space="preserve">Energy Efficiency Program Detail - AWP Weatherization </v>
      </c>
      <c r="B243" s="761"/>
      <c r="C243" s="761"/>
      <c r="D243" s="761"/>
      <c r="E243" s="761"/>
      <c r="F243" s="761"/>
      <c r="G243" s="761"/>
      <c r="H243" s="761"/>
      <c r="I243" s="761"/>
      <c r="J243" s="761"/>
      <c r="K243" s="761"/>
      <c r="L243" s="761"/>
      <c r="M243" s="761"/>
      <c r="N243" s="761"/>
      <c r="O243" s="761"/>
      <c r="P243" s="761"/>
      <c r="Q243" s="761"/>
      <c r="R243" s="762"/>
    </row>
    <row r="244" spans="1:18">
      <c r="A244" s="17"/>
      <c r="B244" s="17"/>
      <c r="C244" s="17"/>
      <c r="D244" s="17"/>
      <c r="E244" s="17"/>
      <c r="F244" s="17"/>
      <c r="G244" s="17"/>
      <c r="H244" s="17"/>
      <c r="I244" s="17"/>
      <c r="J244" s="17"/>
      <c r="K244" s="17"/>
      <c r="L244" s="17"/>
      <c r="M244" s="17"/>
      <c r="N244" s="17"/>
      <c r="O244" s="17"/>
    </row>
    <row r="245" spans="1:18">
      <c r="A245" s="18"/>
      <c r="B245" s="18"/>
    </row>
    <row r="246" spans="1:18">
      <c r="A246" s="19" t="s">
        <v>0</v>
      </c>
      <c r="B246" s="18"/>
      <c r="C246" s="763" t="s">
        <v>416</v>
      </c>
      <c r="D246" s="764"/>
      <c r="E246" s="764"/>
      <c r="F246" s="764"/>
      <c r="G246" s="765"/>
      <c r="H246" s="3" t="s">
        <v>82</v>
      </c>
      <c r="J246" s="766" t="s">
        <v>417</v>
      </c>
      <c r="K246" s="767"/>
      <c r="L246" s="767"/>
      <c r="M246" s="767"/>
      <c r="N246" s="767"/>
      <c r="O246" s="767"/>
      <c r="P246" s="767"/>
      <c r="Q246" s="767"/>
      <c r="R246" s="768"/>
    </row>
    <row r="247" spans="1:18">
      <c r="A247" s="20" t="s">
        <v>1</v>
      </c>
      <c r="B247" s="18"/>
      <c r="C247" s="763" t="s">
        <v>58</v>
      </c>
      <c r="D247" s="764"/>
      <c r="E247" s="764"/>
      <c r="F247" s="764"/>
      <c r="G247" s="765"/>
      <c r="J247" s="769"/>
      <c r="K247" s="770"/>
      <c r="L247" s="770"/>
      <c r="M247" s="770"/>
      <c r="N247" s="770"/>
      <c r="O247" s="770"/>
      <c r="P247" s="770"/>
      <c r="Q247" s="770"/>
      <c r="R247" s="771"/>
    </row>
    <row r="248" spans="1:18">
      <c r="A248" s="20" t="s">
        <v>2</v>
      </c>
      <c r="B248" s="18"/>
      <c r="C248" s="763" t="s">
        <v>159</v>
      </c>
      <c r="D248" s="764"/>
      <c r="E248" s="764"/>
      <c r="F248" s="764"/>
      <c r="G248" s="765"/>
      <c r="J248" s="769"/>
      <c r="K248" s="770"/>
      <c r="L248" s="770"/>
      <c r="M248" s="770"/>
      <c r="N248" s="770"/>
      <c r="O248" s="770"/>
      <c r="P248" s="770"/>
      <c r="Q248" s="770"/>
      <c r="R248" s="771"/>
    </row>
    <row r="249" spans="1:18">
      <c r="A249" s="20" t="s">
        <v>3</v>
      </c>
      <c r="B249" s="18"/>
      <c r="C249" s="763">
        <v>8</v>
      </c>
      <c r="D249" s="764"/>
      <c r="E249" s="764"/>
      <c r="F249" s="764"/>
      <c r="G249" s="765"/>
      <c r="J249" s="772"/>
      <c r="K249" s="773"/>
      <c r="L249" s="773"/>
      <c r="M249" s="773"/>
      <c r="N249" s="773"/>
      <c r="O249" s="773"/>
      <c r="P249" s="773"/>
      <c r="Q249" s="773"/>
      <c r="R249" s="774"/>
    </row>
    <row r="250" spans="1:18">
      <c r="A250" s="18"/>
      <c r="B250" s="18"/>
    </row>
    <row r="251" spans="1:18" ht="13.5" thickBot="1">
      <c r="A251" s="18"/>
      <c r="B251" s="18"/>
    </row>
    <row r="252" spans="1:18" ht="15.75" customHeight="1" thickBot="1">
      <c r="A252" s="758" t="s">
        <v>4</v>
      </c>
      <c r="B252" s="3"/>
      <c r="C252" s="738" t="s">
        <v>144</v>
      </c>
      <c r="D252" s="740"/>
      <c r="E252" s="21"/>
      <c r="F252" s="738" t="s">
        <v>145</v>
      </c>
      <c r="G252" s="739"/>
      <c r="H252" s="739"/>
      <c r="I252" s="739"/>
      <c r="J252" s="740"/>
      <c r="K252" s="22"/>
      <c r="L252" s="738" t="s">
        <v>146</v>
      </c>
      <c r="M252" s="739"/>
      <c r="N252" s="739"/>
      <c r="O252" s="740"/>
      <c r="Q252" s="738" t="s">
        <v>147</v>
      </c>
      <c r="R252" s="740"/>
    </row>
    <row r="253" spans="1:18" ht="13.5" customHeight="1" thickBot="1">
      <c r="A253" s="759"/>
      <c r="B253" s="3"/>
      <c r="C253" s="753"/>
      <c r="D253" s="754"/>
      <c r="E253" s="21"/>
      <c r="F253" s="755"/>
      <c r="G253" s="756"/>
      <c r="H253" s="756"/>
      <c r="I253" s="756"/>
      <c r="J253" s="757"/>
      <c r="K253" s="22"/>
      <c r="L253" s="755"/>
      <c r="M253" s="756"/>
      <c r="N253" s="756"/>
      <c r="O253" s="757"/>
      <c r="Q253" s="753"/>
      <c r="R253" s="754"/>
    </row>
    <row r="254" spans="1:18" ht="13.5" customHeight="1" thickBot="1">
      <c r="A254" s="736" t="s">
        <v>5</v>
      </c>
      <c r="B254" s="3"/>
      <c r="C254" s="14" t="s">
        <v>6</v>
      </c>
      <c r="D254" s="14" t="s">
        <v>7</v>
      </c>
      <c r="E254" s="21"/>
      <c r="F254" s="738" t="s">
        <v>28</v>
      </c>
      <c r="G254" s="739"/>
      <c r="H254" s="739"/>
      <c r="I254" s="14" t="s">
        <v>6</v>
      </c>
      <c r="J254" s="14" t="s">
        <v>7</v>
      </c>
      <c r="K254" s="22"/>
      <c r="L254" s="738" t="s">
        <v>8</v>
      </c>
      <c r="M254" s="739"/>
      <c r="N254" s="739"/>
      <c r="O254" s="740"/>
      <c r="Q254" s="14" t="s">
        <v>6</v>
      </c>
      <c r="R254" s="14" t="s">
        <v>7</v>
      </c>
    </row>
    <row r="255" spans="1:18" ht="13.5" customHeight="1" thickBot="1">
      <c r="A255" s="737"/>
      <c r="B255" s="4"/>
      <c r="C255" s="16" t="s">
        <v>12</v>
      </c>
      <c r="D255" s="16" t="s">
        <v>12</v>
      </c>
      <c r="E255" s="23"/>
      <c r="F255" s="16" t="s">
        <v>9</v>
      </c>
      <c r="G255" s="24" t="s">
        <v>10</v>
      </c>
      <c r="H255" s="25" t="s">
        <v>11</v>
      </c>
      <c r="I255" s="16" t="s">
        <v>13</v>
      </c>
      <c r="J255" s="16" t="s">
        <v>13</v>
      </c>
      <c r="K255" s="22"/>
      <c r="L255" s="16" t="s">
        <v>9</v>
      </c>
      <c r="M255" s="24" t="s">
        <v>10</v>
      </c>
      <c r="N255" s="25" t="s">
        <v>11</v>
      </c>
      <c r="O255" s="15" t="s">
        <v>6</v>
      </c>
      <c r="Q255" s="16" t="s">
        <v>12</v>
      </c>
      <c r="R255" s="16" t="s">
        <v>12</v>
      </c>
    </row>
    <row r="256" spans="1:18" ht="30" customHeight="1">
      <c r="A256" s="26" t="s">
        <v>241</v>
      </c>
      <c r="C256" s="294">
        <v>0</v>
      </c>
      <c r="D256" s="27">
        <f>IF(ISERROR(C256/C261),"-",C256/C261)</f>
        <v>0</v>
      </c>
      <c r="E256" s="22"/>
      <c r="F256" s="294">
        <v>0</v>
      </c>
      <c r="G256" s="296">
        <v>0</v>
      </c>
      <c r="H256" s="296">
        <v>0</v>
      </c>
      <c r="I256" s="28">
        <f t="shared" ref="I256:I261" si="38">F256+G256+H256</f>
        <v>0</v>
      </c>
      <c r="J256" s="27">
        <f>IF(ISERROR(I256/I261),"-",I256/I261)</f>
        <v>0</v>
      </c>
      <c r="K256" s="22"/>
      <c r="L256" s="29" t="str">
        <f t="shared" ref="L256:L261" si="39">IF(ISERROR(F256/$C256),"-",F256/$C256)</f>
        <v>-</v>
      </c>
      <c r="M256" s="89" t="str">
        <f t="shared" ref="M256:M261" si="40">IF(ISERROR(G256/$C256),"-",G256/$C256)</f>
        <v>-</v>
      </c>
      <c r="N256" s="89" t="str">
        <f t="shared" ref="N256:N261" si="41">IF(ISERROR(H256/$C256),"-",H256/$C256)</f>
        <v>-</v>
      </c>
      <c r="O256" s="27" t="str">
        <f t="shared" ref="O256:O261" si="42">IF(ISERROR(I256/$C256),"-",I256/$C256)</f>
        <v>-</v>
      </c>
      <c r="Q256" s="294"/>
      <c r="R256" s="27" t="str">
        <f>IF(ISERROR(Q256/Q261),"-",Q256/Q261)</f>
        <v>-</v>
      </c>
    </row>
    <row r="257" spans="1:18" ht="30" customHeight="1">
      <c r="A257" s="32" t="s">
        <v>179</v>
      </c>
      <c r="C257" s="295">
        <v>0</v>
      </c>
      <c r="D257" s="30">
        <f>IF(ISERROR(C257/C261),"-",C257/C261)</f>
        <v>0</v>
      </c>
      <c r="E257" s="22"/>
      <c r="F257" s="295">
        <v>0</v>
      </c>
      <c r="G257" s="297">
        <v>0</v>
      </c>
      <c r="H257" s="297">
        <v>0</v>
      </c>
      <c r="I257" s="81">
        <f t="shared" si="38"/>
        <v>0</v>
      </c>
      <c r="J257" s="30">
        <f>IF(ISERROR(I257/I261),"-",I257/I261)</f>
        <v>0</v>
      </c>
      <c r="K257" s="22"/>
      <c r="L257" s="86" t="str">
        <f t="shared" si="39"/>
        <v>-</v>
      </c>
      <c r="M257" s="82" t="str">
        <f t="shared" si="40"/>
        <v>-</v>
      </c>
      <c r="N257" s="82" t="str">
        <f t="shared" si="41"/>
        <v>-</v>
      </c>
      <c r="O257" s="30" t="str">
        <f t="shared" si="42"/>
        <v>-</v>
      </c>
      <c r="Q257" s="295"/>
      <c r="R257" s="30" t="str">
        <f>IF(ISERROR(Q257/Q261),"-",Q257/Q261)</f>
        <v>-</v>
      </c>
    </row>
    <row r="258" spans="1:18" ht="30" customHeight="1">
      <c r="A258" s="32" t="s">
        <v>14</v>
      </c>
      <c r="C258" s="295">
        <v>72000</v>
      </c>
      <c r="D258" s="30">
        <f>IF(ISERROR(C258/C261),"-",C258/C261)</f>
        <v>1</v>
      </c>
      <c r="E258" s="22"/>
      <c r="F258" s="295">
        <v>0</v>
      </c>
      <c r="G258" s="297">
        <v>0</v>
      </c>
      <c r="H258" s="297">
        <v>44927.62</v>
      </c>
      <c r="I258" s="81">
        <f t="shared" si="38"/>
        <v>44927.62</v>
      </c>
      <c r="J258" s="30">
        <f>IF(ISERROR(I258/I261),"-",I258/I261)</f>
        <v>1</v>
      </c>
      <c r="K258" s="22"/>
      <c r="L258" s="86">
        <f t="shared" si="39"/>
        <v>0</v>
      </c>
      <c r="M258" s="82">
        <f t="shared" si="40"/>
        <v>0</v>
      </c>
      <c r="N258" s="82">
        <f t="shared" si="41"/>
        <v>0.6239947222222223</v>
      </c>
      <c r="O258" s="30">
        <f t="shared" si="42"/>
        <v>0.6239947222222223</v>
      </c>
      <c r="Q258" s="295"/>
      <c r="R258" s="30" t="str">
        <f>IF(ISERROR(Q258/Q261),"-",Q258/Q261)</f>
        <v>-</v>
      </c>
    </row>
    <row r="259" spans="1:18" ht="30" customHeight="1">
      <c r="A259" s="32" t="s">
        <v>15</v>
      </c>
      <c r="C259" s="295">
        <v>0</v>
      </c>
      <c r="D259" s="30">
        <f>IF(ISERROR(C259/C261),"-",C259/C261)</f>
        <v>0</v>
      </c>
      <c r="E259" s="22"/>
      <c r="F259" s="295">
        <v>0</v>
      </c>
      <c r="G259" s="297">
        <v>0</v>
      </c>
      <c r="H259" s="297">
        <v>0</v>
      </c>
      <c r="I259" s="81">
        <f t="shared" si="38"/>
        <v>0</v>
      </c>
      <c r="J259" s="30">
        <f>IF(ISERROR(I259/I261),"-",I259/I261)</f>
        <v>0</v>
      </c>
      <c r="K259" s="22"/>
      <c r="L259" s="86" t="str">
        <f t="shared" si="39"/>
        <v>-</v>
      </c>
      <c r="M259" s="82" t="str">
        <f t="shared" si="40"/>
        <v>-</v>
      </c>
      <c r="N259" s="82" t="str">
        <f t="shared" si="41"/>
        <v>-</v>
      </c>
      <c r="O259" s="30" t="str">
        <f t="shared" si="42"/>
        <v>-</v>
      </c>
      <c r="Q259" s="295"/>
      <c r="R259" s="30" t="str">
        <f>IF(ISERROR(Q259/Q261),"-",Q259/Q261)</f>
        <v>-</v>
      </c>
    </row>
    <row r="260" spans="1:18" ht="30" customHeight="1" thickBot="1">
      <c r="A260" s="33" t="s">
        <v>17</v>
      </c>
      <c r="C260" s="295">
        <v>0</v>
      </c>
      <c r="D260" s="30">
        <f>IF(ISERROR(C260/C261),"-",C260/C261)</f>
        <v>0</v>
      </c>
      <c r="E260" s="22"/>
      <c r="F260" s="295">
        <v>0</v>
      </c>
      <c r="G260" s="297">
        <v>0</v>
      </c>
      <c r="H260" s="297">
        <v>0</v>
      </c>
      <c r="I260" s="81">
        <f t="shared" si="38"/>
        <v>0</v>
      </c>
      <c r="J260" s="30">
        <f>IF(ISERROR(I260/I261),"-",I260/I261)</f>
        <v>0</v>
      </c>
      <c r="K260" s="22"/>
      <c r="L260" s="86" t="str">
        <f t="shared" si="39"/>
        <v>-</v>
      </c>
      <c r="M260" s="82" t="str">
        <f t="shared" si="40"/>
        <v>-</v>
      </c>
      <c r="N260" s="82" t="str">
        <f t="shared" si="41"/>
        <v>-</v>
      </c>
      <c r="O260" s="30" t="str">
        <f t="shared" si="42"/>
        <v>-</v>
      </c>
      <c r="Q260" s="295"/>
      <c r="R260" s="30" t="str">
        <f>IF(ISERROR(Q260/Q261),"-",Q260/Q261)</f>
        <v>-</v>
      </c>
    </row>
    <row r="261" spans="1:18" ht="30" customHeight="1" thickBot="1">
      <c r="A261" s="34" t="s">
        <v>18</v>
      </c>
      <c r="C261" s="83">
        <f>SUM(C256:C260)</f>
        <v>72000</v>
      </c>
      <c r="D261" s="84">
        <f>SUM(D256:D260)</f>
        <v>1</v>
      </c>
      <c r="E261" s="22"/>
      <c r="F261" s="83">
        <f>SUM(F256:F260)</f>
        <v>0</v>
      </c>
      <c r="G261" s="85">
        <f>SUM(G256:G260)</f>
        <v>0</v>
      </c>
      <c r="H261" s="85">
        <f>SUM(H256:H260)</f>
        <v>44927.62</v>
      </c>
      <c r="I261" s="85">
        <f t="shared" si="38"/>
        <v>44927.62</v>
      </c>
      <c r="J261" s="84">
        <f>SUM(J256:J260)</f>
        <v>1</v>
      </c>
      <c r="K261" s="22"/>
      <c r="L261" s="87">
        <f t="shared" si="39"/>
        <v>0</v>
      </c>
      <c r="M261" s="88">
        <f t="shared" si="40"/>
        <v>0</v>
      </c>
      <c r="N261" s="88">
        <f t="shared" si="41"/>
        <v>0.6239947222222223</v>
      </c>
      <c r="O261" s="84">
        <f t="shared" si="42"/>
        <v>0.6239947222222223</v>
      </c>
      <c r="Q261" s="83">
        <f>SUM(Q256:Q260)</f>
        <v>0</v>
      </c>
      <c r="R261" s="84">
        <f>SUM(R256:R260)</f>
        <v>0</v>
      </c>
    </row>
    <row r="262" spans="1:18" ht="13.5" customHeight="1"/>
    <row r="263" spans="1:18" ht="13.5" customHeight="1" thickBot="1"/>
    <row r="264" spans="1:18" ht="15.75" customHeight="1" thickBot="1">
      <c r="A264" s="741" t="s">
        <v>19</v>
      </c>
      <c r="B264" s="3"/>
      <c r="C264" s="743">
        <v>2010</v>
      </c>
      <c r="D264" s="744"/>
      <c r="E264" s="35"/>
      <c r="F264" s="36">
        <v>2011</v>
      </c>
      <c r="G264" s="37"/>
      <c r="H264" s="745" t="s">
        <v>148</v>
      </c>
      <c r="I264" s="746"/>
      <c r="J264" s="747"/>
      <c r="K264" s="37"/>
      <c r="L264" s="37"/>
      <c r="M264" s="37"/>
      <c r="N264" s="37"/>
      <c r="O264" s="37"/>
    </row>
    <row r="265" spans="1:18" ht="13.5" thickBot="1">
      <c r="A265" s="742"/>
      <c r="B265" s="3"/>
      <c r="C265" s="751"/>
      <c r="D265" s="752"/>
      <c r="F265" s="388"/>
      <c r="G265" s="74"/>
      <c r="H265" s="748"/>
      <c r="I265" s="749"/>
      <c r="J265" s="750"/>
      <c r="K265" s="75"/>
      <c r="L265" s="80"/>
      <c r="M265" s="80"/>
    </row>
    <row r="266" spans="1:18" ht="30.75" customHeight="1" thickBot="1">
      <c r="A266" s="38" t="s">
        <v>5</v>
      </c>
      <c r="B266" s="4"/>
      <c r="C266" s="39" t="s">
        <v>20</v>
      </c>
      <c r="D266" s="40" t="s">
        <v>21</v>
      </c>
      <c r="F266" s="41" t="s">
        <v>20</v>
      </c>
      <c r="G266" s="42"/>
      <c r="H266" s="727" t="s">
        <v>70</v>
      </c>
      <c r="I266" s="728"/>
      <c r="J266" s="729"/>
      <c r="K266" s="42"/>
      <c r="L266" s="80"/>
      <c r="M266" s="80"/>
    </row>
    <row r="267" spans="1:18" ht="30" customHeight="1">
      <c r="A267" s="12" t="str">
        <f>$A$27</f>
        <v>Lifetime Demand Savings (kW*Yrs)</v>
      </c>
      <c r="C267" s="298"/>
      <c r="D267" s="652">
        <f>[8]OGE!$S$58</f>
        <v>78.137220000000013</v>
      </c>
      <c r="F267" s="304"/>
      <c r="G267" s="42"/>
      <c r="H267" s="730" t="s">
        <v>53</v>
      </c>
      <c r="I267" s="731"/>
      <c r="J267" s="307">
        <v>59</v>
      </c>
      <c r="K267" s="42"/>
      <c r="L267" s="43"/>
      <c r="M267" s="44"/>
    </row>
    <row r="268" spans="1:18" ht="30" customHeight="1">
      <c r="A268" s="1" t="str">
        <f>$A$28</f>
        <v>Lifetime Energy Savings (kWh)</v>
      </c>
      <c r="C268" s="300"/>
      <c r="D268" s="301">
        <f>[8]OGE!$T$60</f>
        <v>3976931.3220000006</v>
      </c>
      <c r="F268" s="305"/>
      <c r="G268" s="42"/>
      <c r="H268" s="732" t="s">
        <v>46</v>
      </c>
      <c r="I268" s="733"/>
      <c r="J268" s="308">
        <v>55</v>
      </c>
      <c r="K268" s="42"/>
      <c r="L268" s="78"/>
      <c r="M268" s="44"/>
    </row>
    <row r="269" spans="1:18" ht="30" customHeight="1" thickBot="1">
      <c r="A269" s="45" t="s">
        <v>22</v>
      </c>
      <c r="C269" s="302"/>
      <c r="D269" s="303"/>
      <c r="F269" s="306"/>
      <c r="H269" s="734" t="s">
        <v>83</v>
      </c>
      <c r="I269" s="735"/>
      <c r="J269" s="309">
        <v>0</v>
      </c>
      <c r="L269" s="79"/>
      <c r="M269" s="42"/>
    </row>
    <row r="270" spans="1:18">
      <c r="A270" s="720" t="s">
        <v>418</v>
      </c>
    </row>
    <row r="271" spans="1:18" ht="13.5" thickBot="1">
      <c r="A271" s="227"/>
      <c r="B271" s="227"/>
      <c r="C271" s="227"/>
      <c r="D271" s="227"/>
      <c r="E271" s="227"/>
      <c r="F271" s="227"/>
      <c r="G271" s="227"/>
      <c r="H271" s="227"/>
      <c r="I271" s="227"/>
      <c r="J271" s="227"/>
      <c r="K271" s="227"/>
      <c r="L271" s="227"/>
      <c r="M271" s="227"/>
      <c r="N271" s="227"/>
      <c r="O271" s="227"/>
      <c r="P271" s="227"/>
      <c r="Q271" s="227"/>
      <c r="R271" s="227"/>
    </row>
    <row r="273" spans="1:18" ht="27.75">
      <c r="A273" s="760" t="str">
        <f>"Energy Efficiency Program Detail - "&amp;C276</f>
        <v>Energy Efficiency Program Detail - Program 9</v>
      </c>
      <c r="B273" s="761"/>
      <c r="C273" s="761"/>
      <c r="D273" s="761"/>
      <c r="E273" s="761"/>
      <c r="F273" s="761"/>
      <c r="G273" s="761"/>
      <c r="H273" s="761"/>
      <c r="I273" s="761"/>
      <c r="J273" s="761"/>
      <c r="K273" s="761"/>
      <c r="L273" s="761"/>
      <c r="M273" s="761"/>
      <c r="N273" s="761"/>
      <c r="O273" s="761"/>
      <c r="P273" s="761"/>
      <c r="Q273" s="761"/>
      <c r="R273" s="762"/>
    </row>
    <row r="274" spans="1:18">
      <c r="A274" s="17"/>
      <c r="B274" s="17"/>
      <c r="C274" s="17"/>
      <c r="D274" s="17"/>
      <c r="E274" s="17"/>
      <c r="F274" s="17"/>
      <c r="G274" s="17"/>
      <c r="H274" s="17"/>
      <c r="I274" s="17"/>
      <c r="J274" s="17"/>
      <c r="K274" s="17"/>
      <c r="L274" s="17"/>
      <c r="M274" s="17"/>
      <c r="N274" s="17"/>
      <c r="O274" s="17"/>
    </row>
    <row r="275" spans="1:18">
      <c r="A275" s="18"/>
      <c r="B275" s="18"/>
    </row>
    <row r="276" spans="1:18">
      <c r="A276" s="19" t="s">
        <v>0</v>
      </c>
      <c r="B276" s="18"/>
      <c r="C276" s="763" t="s">
        <v>205</v>
      </c>
      <c r="D276" s="764"/>
      <c r="E276" s="764"/>
      <c r="F276" s="764"/>
      <c r="G276" s="765"/>
      <c r="H276" s="3" t="s">
        <v>82</v>
      </c>
      <c r="J276" s="766"/>
      <c r="K276" s="767"/>
      <c r="L276" s="767"/>
      <c r="M276" s="767"/>
      <c r="N276" s="767"/>
      <c r="O276" s="767"/>
      <c r="P276" s="767"/>
      <c r="Q276" s="767"/>
      <c r="R276" s="768"/>
    </row>
    <row r="277" spans="1:18">
      <c r="A277" s="20" t="s">
        <v>1</v>
      </c>
      <c r="B277" s="18"/>
      <c r="C277" s="763" t="s">
        <v>54</v>
      </c>
      <c r="D277" s="764"/>
      <c r="E277" s="764"/>
      <c r="F277" s="764"/>
      <c r="G277" s="765"/>
      <c r="J277" s="769"/>
      <c r="K277" s="770"/>
      <c r="L277" s="770"/>
      <c r="M277" s="770"/>
      <c r="N277" s="770"/>
      <c r="O277" s="770"/>
      <c r="P277" s="770"/>
      <c r="Q277" s="770"/>
      <c r="R277" s="771"/>
    </row>
    <row r="278" spans="1:18">
      <c r="A278" s="20" t="s">
        <v>2</v>
      </c>
      <c r="B278" s="18"/>
      <c r="C278" s="763" t="s">
        <v>54</v>
      </c>
      <c r="D278" s="764"/>
      <c r="E278" s="764"/>
      <c r="F278" s="764"/>
      <c r="G278" s="765"/>
      <c r="J278" s="769"/>
      <c r="K278" s="770"/>
      <c r="L278" s="770"/>
      <c r="M278" s="770"/>
      <c r="N278" s="770"/>
      <c r="O278" s="770"/>
      <c r="P278" s="770"/>
      <c r="Q278" s="770"/>
      <c r="R278" s="771"/>
    </row>
    <row r="279" spans="1:18">
      <c r="A279" s="20" t="s">
        <v>3</v>
      </c>
      <c r="B279" s="18"/>
      <c r="C279" s="763">
        <v>9</v>
      </c>
      <c r="D279" s="764"/>
      <c r="E279" s="764"/>
      <c r="F279" s="764"/>
      <c r="G279" s="765"/>
      <c r="J279" s="772"/>
      <c r="K279" s="773"/>
      <c r="L279" s="773"/>
      <c r="M279" s="773"/>
      <c r="N279" s="773"/>
      <c r="O279" s="773"/>
      <c r="P279" s="773"/>
      <c r="Q279" s="773"/>
      <c r="R279" s="774"/>
    </row>
    <row r="280" spans="1:18">
      <c r="A280" s="18"/>
      <c r="B280" s="18"/>
    </row>
    <row r="281" spans="1:18" ht="13.5" thickBot="1">
      <c r="A281" s="18"/>
      <c r="B281" s="18"/>
    </row>
    <row r="282" spans="1:18" ht="15.75" customHeight="1" thickBot="1">
      <c r="A282" s="758" t="s">
        <v>4</v>
      </c>
      <c r="B282" s="3"/>
      <c r="C282" s="738" t="s">
        <v>144</v>
      </c>
      <c r="D282" s="740"/>
      <c r="E282" s="21"/>
      <c r="F282" s="738" t="s">
        <v>145</v>
      </c>
      <c r="G282" s="739"/>
      <c r="H282" s="739"/>
      <c r="I282" s="739"/>
      <c r="J282" s="740"/>
      <c r="K282" s="22"/>
      <c r="L282" s="738" t="s">
        <v>146</v>
      </c>
      <c r="M282" s="739"/>
      <c r="N282" s="739"/>
      <c r="O282" s="740"/>
      <c r="Q282" s="738" t="s">
        <v>147</v>
      </c>
      <c r="R282" s="740"/>
    </row>
    <row r="283" spans="1:18" ht="13.5" customHeight="1" thickBot="1">
      <c r="A283" s="759"/>
      <c r="B283" s="3"/>
      <c r="C283" s="753"/>
      <c r="D283" s="754"/>
      <c r="E283" s="21"/>
      <c r="F283" s="755"/>
      <c r="G283" s="756"/>
      <c r="H283" s="756"/>
      <c r="I283" s="756"/>
      <c r="J283" s="757"/>
      <c r="K283" s="22"/>
      <c r="L283" s="755"/>
      <c r="M283" s="756"/>
      <c r="N283" s="756"/>
      <c r="O283" s="757"/>
      <c r="Q283" s="753"/>
      <c r="R283" s="754"/>
    </row>
    <row r="284" spans="1:18" ht="13.5" customHeight="1" thickBot="1">
      <c r="A284" s="736" t="s">
        <v>5</v>
      </c>
      <c r="B284" s="3"/>
      <c r="C284" s="14" t="s">
        <v>6</v>
      </c>
      <c r="D284" s="14" t="s">
        <v>7</v>
      </c>
      <c r="E284" s="21"/>
      <c r="F284" s="738" t="s">
        <v>28</v>
      </c>
      <c r="G284" s="739"/>
      <c r="H284" s="739"/>
      <c r="I284" s="14" t="s">
        <v>6</v>
      </c>
      <c r="J284" s="14" t="s">
        <v>7</v>
      </c>
      <c r="K284" s="22"/>
      <c r="L284" s="738" t="s">
        <v>8</v>
      </c>
      <c r="M284" s="739"/>
      <c r="N284" s="739"/>
      <c r="O284" s="740"/>
      <c r="Q284" s="14" t="s">
        <v>6</v>
      </c>
      <c r="R284" s="14" t="s">
        <v>7</v>
      </c>
    </row>
    <row r="285" spans="1:18" ht="13.5" customHeight="1" thickBot="1">
      <c r="A285" s="737"/>
      <c r="B285" s="4"/>
      <c r="C285" s="16" t="s">
        <v>12</v>
      </c>
      <c r="D285" s="16" t="s">
        <v>12</v>
      </c>
      <c r="E285" s="23"/>
      <c r="F285" s="16" t="s">
        <v>9</v>
      </c>
      <c r="G285" s="24" t="s">
        <v>10</v>
      </c>
      <c r="H285" s="25" t="s">
        <v>11</v>
      </c>
      <c r="I285" s="16" t="s">
        <v>13</v>
      </c>
      <c r="J285" s="16" t="s">
        <v>13</v>
      </c>
      <c r="K285" s="22"/>
      <c r="L285" s="16" t="s">
        <v>9</v>
      </c>
      <c r="M285" s="24" t="s">
        <v>10</v>
      </c>
      <c r="N285" s="25" t="s">
        <v>11</v>
      </c>
      <c r="O285" s="15" t="s">
        <v>6</v>
      </c>
      <c r="Q285" s="16" t="s">
        <v>12</v>
      </c>
      <c r="R285" s="16" t="s">
        <v>12</v>
      </c>
    </row>
    <row r="286" spans="1:18" ht="30" customHeight="1">
      <c r="A286" s="26" t="s">
        <v>241</v>
      </c>
      <c r="C286" s="294"/>
      <c r="D286" s="27" t="str">
        <f>IF(ISERROR(C286/C291),"-",C286/C291)</f>
        <v>-</v>
      </c>
      <c r="E286" s="22"/>
      <c r="F286" s="294"/>
      <c r="G286" s="296"/>
      <c r="H286" s="296"/>
      <c r="I286" s="28">
        <f t="shared" ref="I286:I291" si="43">F286+G286+H286</f>
        <v>0</v>
      </c>
      <c r="J286" s="27" t="str">
        <f>IF(ISERROR(I286/I291),"-",I286/I291)</f>
        <v>-</v>
      </c>
      <c r="K286" s="22"/>
      <c r="L286" s="29" t="str">
        <f t="shared" ref="L286:L291" si="44">IF(ISERROR(F286/$C286),"-",F286/$C286)</f>
        <v>-</v>
      </c>
      <c r="M286" s="89" t="str">
        <f t="shared" ref="M286:M291" si="45">IF(ISERROR(G286/$C286),"-",G286/$C286)</f>
        <v>-</v>
      </c>
      <c r="N286" s="89" t="str">
        <f t="shared" ref="N286:N291" si="46">IF(ISERROR(H286/$C286),"-",H286/$C286)</f>
        <v>-</v>
      </c>
      <c r="O286" s="27" t="str">
        <f t="shared" ref="O286:O291" si="47">IF(ISERROR(I286/$C286),"-",I286/$C286)</f>
        <v>-</v>
      </c>
      <c r="Q286" s="294"/>
      <c r="R286" s="27" t="str">
        <f>IF(ISERROR(Q286/Q291),"-",Q286/Q291)</f>
        <v>-</v>
      </c>
    </row>
    <row r="287" spans="1:18" ht="30" customHeight="1">
      <c r="A287" s="32" t="s">
        <v>179</v>
      </c>
      <c r="C287" s="295"/>
      <c r="D287" s="30" t="str">
        <f>IF(ISERROR(C287/C291),"-",C287/C291)</f>
        <v>-</v>
      </c>
      <c r="E287" s="22"/>
      <c r="F287" s="295"/>
      <c r="G287" s="297"/>
      <c r="H287" s="297"/>
      <c r="I287" s="81">
        <f t="shared" si="43"/>
        <v>0</v>
      </c>
      <c r="J287" s="30" t="str">
        <f>IF(ISERROR(I287/I291),"-",I287/I291)</f>
        <v>-</v>
      </c>
      <c r="K287" s="22"/>
      <c r="L287" s="86" t="str">
        <f t="shared" si="44"/>
        <v>-</v>
      </c>
      <c r="M287" s="82" t="str">
        <f t="shared" si="45"/>
        <v>-</v>
      </c>
      <c r="N287" s="82" t="str">
        <f t="shared" si="46"/>
        <v>-</v>
      </c>
      <c r="O287" s="30" t="str">
        <f t="shared" si="47"/>
        <v>-</v>
      </c>
      <c r="Q287" s="295"/>
      <c r="R287" s="30" t="str">
        <f>IF(ISERROR(Q287/Q291),"-",Q287/Q291)</f>
        <v>-</v>
      </c>
    </row>
    <row r="288" spans="1:18" ht="30" customHeight="1">
      <c r="A288" s="32" t="s">
        <v>14</v>
      </c>
      <c r="C288" s="295"/>
      <c r="D288" s="30" t="str">
        <f>IF(ISERROR(C288/C291),"-",C288/C291)</f>
        <v>-</v>
      </c>
      <c r="E288" s="22"/>
      <c r="F288" s="295"/>
      <c r="G288" s="297"/>
      <c r="H288" s="297"/>
      <c r="I288" s="81">
        <f t="shared" si="43"/>
        <v>0</v>
      </c>
      <c r="J288" s="30" t="str">
        <f>IF(ISERROR(I288/I291),"-",I288/I291)</f>
        <v>-</v>
      </c>
      <c r="K288" s="22"/>
      <c r="L288" s="86" t="str">
        <f t="shared" si="44"/>
        <v>-</v>
      </c>
      <c r="M288" s="82" t="str">
        <f t="shared" si="45"/>
        <v>-</v>
      </c>
      <c r="N288" s="82" t="str">
        <f t="shared" si="46"/>
        <v>-</v>
      </c>
      <c r="O288" s="30" t="str">
        <f t="shared" si="47"/>
        <v>-</v>
      </c>
      <c r="Q288" s="295"/>
      <c r="R288" s="30" t="str">
        <f>IF(ISERROR(Q288/Q291),"-",Q288/Q291)</f>
        <v>-</v>
      </c>
    </row>
    <row r="289" spans="1:18" ht="30" customHeight="1">
      <c r="A289" s="32" t="s">
        <v>15</v>
      </c>
      <c r="C289" s="295"/>
      <c r="D289" s="30" t="str">
        <f>IF(ISERROR(C289/C291),"-",C289/C291)</f>
        <v>-</v>
      </c>
      <c r="E289" s="22"/>
      <c r="F289" s="295"/>
      <c r="G289" s="297"/>
      <c r="H289" s="297"/>
      <c r="I289" s="81">
        <f t="shared" si="43"/>
        <v>0</v>
      </c>
      <c r="J289" s="30" t="str">
        <f>IF(ISERROR(I289/I291),"-",I289/I291)</f>
        <v>-</v>
      </c>
      <c r="K289" s="22"/>
      <c r="L289" s="86" t="str">
        <f t="shared" si="44"/>
        <v>-</v>
      </c>
      <c r="M289" s="82" t="str">
        <f t="shared" si="45"/>
        <v>-</v>
      </c>
      <c r="N289" s="82" t="str">
        <f t="shared" si="46"/>
        <v>-</v>
      </c>
      <c r="O289" s="30" t="str">
        <f t="shared" si="47"/>
        <v>-</v>
      </c>
      <c r="Q289" s="295"/>
      <c r="R289" s="30" t="str">
        <f>IF(ISERROR(Q289/Q291),"-",Q289/Q291)</f>
        <v>-</v>
      </c>
    </row>
    <row r="290" spans="1:18" ht="30" customHeight="1" thickBot="1">
      <c r="A290" s="33" t="s">
        <v>17</v>
      </c>
      <c r="C290" s="295"/>
      <c r="D290" s="30" t="str">
        <f>IF(ISERROR(C290/C291),"-",C290/C291)</f>
        <v>-</v>
      </c>
      <c r="E290" s="22"/>
      <c r="F290" s="295"/>
      <c r="G290" s="297"/>
      <c r="H290" s="297"/>
      <c r="I290" s="81">
        <f t="shared" si="43"/>
        <v>0</v>
      </c>
      <c r="J290" s="30" t="str">
        <f>IF(ISERROR(I290/I291),"-",I290/I291)</f>
        <v>-</v>
      </c>
      <c r="K290" s="22"/>
      <c r="L290" s="86" t="str">
        <f t="shared" si="44"/>
        <v>-</v>
      </c>
      <c r="M290" s="82" t="str">
        <f t="shared" si="45"/>
        <v>-</v>
      </c>
      <c r="N290" s="82" t="str">
        <f t="shared" si="46"/>
        <v>-</v>
      </c>
      <c r="O290" s="30" t="str">
        <f t="shared" si="47"/>
        <v>-</v>
      </c>
      <c r="Q290" s="295"/>
      <c r="R290" s="30" t="str">
        <f>IF(ISERROR(Q290/Q291),"-",Q290/Q291)</f>
        <v>-</v>
      </c>
    </row>
    <row r="291" spans="1:18" ht="30" customHeight="1" thickBot="1">
      <c r="A291" s="34" t="s">
        <v>18</v>
      </c>
      <c r="C291" s="83">
        <f>SUM(C286:C290)</f>
        <v>0</v>
      </c>
      <c r="D291" s="84">
        <f>SUM(D286:D290)</f>
        <v>0</v>
      </c>
      <c r="E291" s="22"/>
      <c r="F291" s="83">
        <f>SUM(F286:F290)</f>
        <v>0</v>
      </c>
      <c r="G291" s="85">
        <f>SUM(G286:G290)</f>
        <v>0</v>
      </c>
      <c r="H291" s="85">
        <f>SUM(H286:H290)</f>
        <v>0</v>
      </c>
      <c r="I291" s="85">
        <f t="shared" si="43"/>
        <v>0</v>
      </c>
      <c r="J291" s="84">
        <f>SUM(J286:J290)</f>
        <v>0</v>
      </c>
      <c r="K291" s="22"/>
      <c r="L291" s="87" t="str">
        <f t="shared" si="44"/>
        <v>-</v>
      </c>
      <c r="M291" s="88" t="str">
        <f t="shared" si="45"/>
        <v>-</v>
      </c>
      <c r="N291" s="88" t="str">
        <f t="shared" si="46"/>
        <v>-</v>
      </c>
      <c r="O291" s="84" t="str">
        <f t="shared" si="47"/>
        <v>-</v>
      </c>
      <c r="Q291" s="83">
        <f>SUM(Q286:Q290)</f>
        <v>0</v>
      </c>
      <c r="R291" s="84">
        <f>SUM(R286:R290)</f>
        <v>0</v>
      </c>
    </row>
    <row r="292" spans="1:18" ht="13.5" customHeight="1"/>
    <row r="293" spans="1:18" ht="13.5" customHeight="1" thickBot="1"/>
    <row r="294" spans="1:18" ht="15.75" customHeight="1" thickBot="1">
      <c r="A294" s="741" t="s">
        <v>19</v>
      </c>
      <c r="B294" s="3"/>
      <c r="C294" s="743">
        <v>2010</v>
      </c>
      <c r="D294" s="744"/>
      <c r="E294" s="35"/>
      <c r="F294" s="36">
        <v>2011</v>
      </c>
      <c r="G294" s="37"/>
      <c r="H294" s="745" t="s">
        <v>148</v>
      </c>
      <c r="I294" s="746"/>
      <c r="J294" s="747"/>
      <c r="K294" s="37"/>
      <c r="L294" s="37"/>
      <c r="M294" s="37"/>
      <c r="N294" s="37"/>
      <c r="O294" s="37"/>
    </row>
    <row r="295" spans="1:18" ht="13.5" thickBot="1">
      <c r="A295" s="742"/>
      <c r="B295" s="3"/>
      <c r="C295" s="751"/>
      <c r="D295" s="752"/>
      <c r="F295" s="388"/>
      <c r="G295" s="74"/>
      <c r="H295" s="748"/>
      <c r="I295" s="749"/>
      <c r="J295" s="750"/>
      <c r="K295" s="75"/>
      <c r="L295" s="80"/>
      <c r="M295" s="80"/>
    </row>
    <row r="296" spans="1:18" ht="30.75" customHeight="1" thickBot="1">
      <c r="A296" s="38" t="s">
        <v>5</v>
      </c>
      <c r="B296" s="4"/>
      <c r="C296" s="39" t="s">
        <v>20</v>
      </c>
      <c r="D296" s="40" t="s">
        <v>21</v>
      </c>
      <c r="F296" s="41" t="s">
        <v>20</v>
      </c>
      <c r="G296" s="42"/>
      <c r="H296" s="727" t="s">
        <v>70</v>
      </c>
      <c r="I296" s="728"/>
      <c r="J296" s="729"/>
      <c r="K296" s="42"/>
      <c r="L296" s="80"/>
      <c r="M296" s="80"/>
    </row>
    <row r="297" spans="1:18" ht="30" customHeight="1">
      <c r="A297" s="12" t="str">
        <f>$A$27</f>
        <v>Lifetime Demand Savings (kW*Yrs)</v>
      </c>
      <c r="C297" s="298"/>
      <c r="D297" s="299"/>
      <c r="F297" s="304"/>
      <c r="G297" s="42"/>
      <c r="H297" s="730" t="s">
        <v>53</v>
      </c>
      <c r="I297" s="731"/>
      <c r="J297" s="307"/>
      <c r="K297" s="42"/>
      <c r="L297" s="43"/>
      <c r="M297" s="44"/>
    </row>
    <row r="298" spans="1:18" ht="30" customHeight="1">
      <c r="A298" s="1" t="str">
        <f>$A$28</f>
        <v>Lifetime Energy Savings (kWh)</v>
      </c>
      <c r="C298" s="300"/>
      <c r="D298" s="301"/>
      <c r="F298" s="305"/>
      <c r="G298" s="42"/>
      <c r="H298" s="732" t="s">
        <v>46</v>
      </c>
      <c r="I298" s="733"/>
      <c r="J298" s="308"/>
      <c r="K298" s="42"/>
      <c r="L298" s="78"/>
      <c r="M298" s="44"/>
    </row>
    <row r="299" spans="1:18" ht="30" customHeight="1" thickBot="1">
      <c r="A299" s="45" t="s">
        <v>22</v>
      </c>
      <c r="C299" s="302"/>
      <c r="D299" s="303"/>
      <c r="F299" s="306"/>
      <c r="H299" s="734" t="s">
        <v>83</v>
      </c>
      <c r="I299" s="735"/>
      <c r="J299" s="309"/>
      <c r="L299" s="79"/>
      <c r="M299" s="42"/>
    </row>
    <row r="301" spans="1:18" ht="13.5" thickBot="1">
      <c r="A301" s="227"/>
      <c r="B301" s="227"/>
      <c r="C301" s="227"/>
      <c r="D301" s="227"/>
      <c r="E301" s="227"/>
      <c r="F301" s="227"/>
      <c r="G301" s="227"/>
      <c r="H301" s="227"/>
      <c r="I301" s="227"/>
      <c r="J301" s="227"/>
      <c r="K301" s="227"/>
      <c r="L301" s="227"/>
      <c r="M301" s="227"/>
      <c r="N301" s="227"/>
      <c r="O301" s="227"/>
      <c r="P301" s="227"/>
      <c r="Q301" s="227"/>
      <c r="R301" s="227"/>
    </row>
    <row r="303" spans="1:18" ht="27.75">
      <c r="A303" s="760" t="str">
        <f>"Energy Efficiency Program Detail - "&amp;C306</f>
        <v>Energy Efficiency Program Detail - Program 10</v>
      </c>
      <c r="B303" s="761"/>
      <c r="C303" s="761"/>
      <c r="D303" s="761"/>
      <c r="E303" s="761"/>
      <c r="F303" s="761"/>
      <c r="G303" s="761"/>
      <c r="H303" s="761"/>
      <c r="I303" s="761"/>
      <c r="J303" s="761"/>
      <c r="K303" s="761"/>
      <c r="L303" s="761"/>
      <c r="M303" s="761"/>
      <c r="N303" s="761"/>
      <c r="O303" s="761"/>
      <c r="P303" s="761"/>
      <c r="Q303" s="761"/>
      <c r="R303" s="762"/>
    </row>
    <row r="304" spans="1:18">
      <c r="A304" s="17"/>
      <c r="B304" s="17"/>
      <c r="C304" s="17"/>
      <c r="D304" s="17"/>
      <c r="E304" s="17"/>
      <c r="F304" s="17"/>
      <c r="G304" s="17"/>
      <c r="H304" s="17"/>
      <c r="I304" s="17"/>
      <c r="J304" s="17"/>
      <c r="K304" s="17"/>
      <c r="L304" s="17"/>
      <c r="M304" s="17"/>
      <c r="N304" s="17"/>
      <c r="O304" s="17"/>
    </row>
    <row r="305" spans="1:18">
      <c r="A305" s="18"/>
      <c r="B305" s="18"/>
    </row>
    <row r="306" spans="1:18">
      <c r="A306" s="19" t="s">
        <v>0</v>
      </c>
      <c r="B306" s="18"/>
      <c r="C306" s="763" t="s">
        <v>206</v>
      </c>
      <c r="D306" s="764"/>
      <c r="E306" s="764"/>
      <c r="F306" s="764"/>
      <c r="G306" s="765"/>
      <c r="H306" s="3" t="s">
        <v>82</v>
      </c>
      <c r="J306" s="766"/>
      <c r="K306" s="767"/>
      <c r="L306" s="767"/>
      <c r="M306" s="767"/>
      <c r="N306" s="767"/>
      <c r="O306" s="767"/>
      <c r="P306" s="767"/>
      <c r="Q306" s="767"/>
      <c r="R306" s="768"/>
    </row>
    <row r="307" spans="1:18">
      <c r="A307" s="20" t="s">
        <v>1</v>
      </c>
      <c r="B307" s="18"/>
      <c r="C307" s="763" t="s">
        <v>54</v>
      </c>
      <c r="D307" s="764"/>
      <c r="E307" s="764"/>
      <c r="F307" s="764"/>
      <c r="G307" s="765"/>
      <c r="J307" s="769"/>
      <c r="K307" s="770"/>
      <c r="L307" s="770"/>
      <c r="M307" s="770"/>
      <c r="N307" s="770"/>
      <c r="O307" s="770"/>
      <c r="P307" s="770"/>
      <c r="Q307" s="770"/>
      <c r="R307" s="771"/>
    </row>
    <row r="308" spans="1:18">
      <c r="A308" s="20" t="s">
        <v>2</v>
      </c>
      <c r="B308" s="18"/>
      <c r="C308" s="763" t="s">
        <v>54</v>
      </c>
      <c r="D308" s="764"/>
      <c r="E308" s="764"/>
      <c r="F308" s="764"/>
      <c r="G308" s="765"/>
      <c r="J308" s="769"/>
      <c r="K308" s="770"/>
      <c r="L308" s="770"/>
      <c r="M308" s="770"/>
      <c r="N308" s="770"/>
      <c r="O308" s="770"/>
      <c r="P308" s="770"/>
      <c r="Q308" s="770"/>
      <c r="R308" s="771"/>
    </row>
    <row r="309" spans="1:18">
      <c r="A309" s="20" t="s">
        <v>3</v>
      </c>
      <c r="B309" s="18"/>
      <c r="C309" s="763">
        <v>10</v>
      </c>
      <c r="D309" s="764"/>
      <c r="E309" s="764"/>
      <c r="F309" s="764"/>
      <c r="G309" s="765"/>
      <c r="J309" s="772"/>
      <c r="K309" s="773"/>
      <c r="L309" s="773"/>
      <c r="M309" s="773"/>
      <c r="N309" s="773"/>
      <c r="O309" s="773"/>
      <c r="P309" s="773"/>
      <c r="Q309" s="773"/>
      <c r="R309" s="774"/>
    </row>
    <row r="310" spans="1:18">
      <c r="A310" s="18"/>
      <c r="B310" s="18"/>
    </row>
    <row r="311" spans="1:18" ht="13.5" thickBot="1">
      <c r="A311" s="18"/>
      <c r="B311" s="18"/>
    </row>
    <row r="312" spans="1:18" ht="15.75" customHeight="1" thickBot="1">
      <c r="A312" s="758" t="s">
        <v>4</v>
      </c>
      <c r="B312" s="3"/>
      <c r="C312" s="738" t="s">
        <v>144</v>
      </c>
      <c r="D312" s="740"/>
      <c r="E312" s="21"/>
      <c r="F312" s="738" t="s">
        <v>145</v>
      </c>
      <c r="G312" s="739"/>
      <c r="H312" s="739"/>
      <c r="I312" s="739"/>
      <c r="J312" s="740"/>
      <c r="K312" s="22"/>
      <c r="L312" s="738" t="s">
        <v>146</v>
      </c>
      <c r="M312" s="739"/>
      <c r="N312" s="739"/>
      <c r="O312" s="740"/>
      <c r="Q312" s="738" t="s">
        <v>147</v>
      </c>
      <c r="R312" s="740"/>
    </row>
    <row r="313" spans="1:18" ht="13.5" customHeight="1" thickBot="1">
      <c r="A313" s="759"/>
      <c r="B313" s="3"/>
      <c r="C313" s="753"/>
      <c r="D313" s="754"/>
      <c r="E313" s="21"/>
      <c r="F313" s="755"/>
      <c r="G313" s="756"/>
      <c r="H313" s="756"/>
      <c r="I313" s="756"/>
      <c r="J313" s="757"/>
      <c r="K313" s="22"/>
      <c r="L313" s="755"/>
      <c r="M313" s="756"/>
      <c r="N313" s="756"/>
      <c r="O313" s="757"/>
      <c r="Q313" s="753"/>
      <c r="R313" s="754"/>
    </row>
    <row r="314" spans="1:18" ht="13.5" customHeight="1" thickBot="1">
      <c r="A314" s="736" t="s">
        <v>5</v>
      </c>
      <c r="B314" s="3"/>
      <c r="C314" s="14" t="s">
        <v>6</v>
      </c>
      <c r="D314" s="14" t="s">
        <v>7</v>
      </c>
      <c r="E314" s="21"/>
      <c r="F314" s="738" t="s">
        <v>28</v>
      </c>
      <c r="G314" s="739"/>
      <c r="H314" s="739"/>
      <c r="I314" s="14" t="s">
        <v>6</v>
      </c>
      <c r="J314" s="14" t="s">
        <v>7</v>
      </c>
      <c r="K314" s="22"/>
      <c r="L314" s="738" t="s">
        <v>8</v>
      </c>
      <c r="M314" s="739"/>
      <c r="N314" s="739"/>
      <c r="O314" s="740"/>
      <c r="Q314" s="14" t="s">
        <v>6</v>
      </c>
      <c r="R314" s="14" t="s">
        <v>7</v>
      </c>
    </row>
    <row r="315" spans="1:18" ht="13.5" customHeight="1" thickBot="1">
      <c r="A315" s="737"/>
      <c r="B315" s="4"/>
      <c r="C315" s="16" t="s">
        <v>12</v>
      </c>
      <c r="D315" s="16" t="s">
        <v>12</v>
      </c>
      <c r="E315" s="23"/>
      <c r="F315" s="16" t="s">
        <v>9</v>
      </c>
      <c r="G315" s="24" t="s">
        <v>10</v>
      </c>
      <c r="H315" s="25" t="s">
        <v>11</v>
      </c>
      <c r="I315" s="16" t="s">
        <v>13</v>
      </c>
      <c r="J315" s="16" t="s">
        <v>13</v>
      </c>
      <c r="K315" s="22"/>
      <c r="L315" s="16" t="s">
        <v>9</v>
      </c>
      <c r="M315" s="24" t="s">
        <v>10</v>
      </c>
      <c r="N315" s="25" t="s">
        <v>11</v>
      </c>
      <c r="O315" s="15" t="s">
        <v>6</v>
      </c>
      <c r="Q315" s="16" t="s">
        <v>12</v>
      </c>
      <c r="R315" s="16" t="s">
        <v>12</v>
      </c>
    </row>
    <row r="316" spans="1:18" ht="30" customHeight="1">
      <c r="A316" s="26" t="s">
        <v>241</v>
      </c>
      <c r="C316" s="294"/>
      <c r="D316" s="27" t="str">
        <f>IF(ISERROR(C316/C321),"-",C316/C321)</f>
        <v>-</v>
      </c>
      <c r="E316" s="22"/>
      <c r="F316" s="294"/>
      <c r="G316" s="296"/>
      <c r="H316" s="296"/>
      <c r="I316" s="28">
        <f t="shared" ref="I316:I321" si="48">F316+G316+H316</f>
        <v>0</v>
      </c>
      <c r="J316" s="27" t="str">
        <f>IF(ISERROR(I316/I321),"-",I316/I321)</f>
        <v>-</v>
      </c>
      <c r="K316" s="22"/>
      <c r="L316" s="29" t="str">
        <f t="shared" ref="L316:L321" si="49">IF(ISERROR(F316/$C316),"-",F316/$C316)</f>
        <v>-</v>
      </c>
      <c r="M316" s="89" t="str">
        <f t="shared" ref="M316:M321" si="50">IF(ISERROR(G316/$C316),"-",G316/$C316)</f>
        <v>-</v>
      </c>
      <c r="N316" s="89" t="str">
        <f t="shared" ref="N316:N321" si="51">IF(ISERROR(H316/$C316),"-",H316/$C316)</f>
        <v>-</v>
      </c>
      <c r="O316" s="27" t="str">
        <f t="shared" ref="O316:O321" si="52">IF(ISERROR(I316/$C316),"-",I316/$C316)</f>
        <v>-</v>
      </c>
      <c r="Q316" s="294"/>
      <c r="R316" s="27" t="str">
        <f>IF(ISERROR(Q316/Q321),"-",Q316/Q321)</f>
        <v>-</v>
      </c>
    </row>
    <row r="317" spans="1:18" ht="30" customHeight="1">
      <c r="A317" s="32" t="s">
        <v>179</v>
      </c>
      <c r="C317" s="295"/>
      <c r="D317" s="30" t="str">
        <f>IF(ISERROR(C317/C321),"-",C317/C321)</f>
        <v>-</v>
      </c>
      <c r="E317" s="22"/>
      <c r="F317" s="295"/>
      <c r="G317" s="297"/>
      <c r="H317" s="297"/>
      <c r="I317" s="81">
        <f t="shared" si="48"/>
        <v>0</v>
      </c>
      <c r="J317" s="30" t="str">
        <f>IF(ISERROR(I317/I321),"-",I317/I321)</f>
        <v>-</v>
      </c>
      <c r="K317" s="22"/>
      <c r="L317" s="86" t="str">
        <f t="shared" si="49"/>
        <v>-</v>
      </c>
      <c r="M317" s="82" t="str">
        <f t="shared" si="50"/>
        <v>-</v>
      </c>
      <c r="N317" s="82" t="str">
        <f t="shared" si="51"/>
        <v>-</v>
      </c>
      <c r="O317" s="30" t="str">
        <f t="shared" si="52"/>
        <v>-</v>
      </c>
      <c r="Q317" s="295"/>
      <c r="R317" s="30" t="str">
        <f>IF(ISERROR(Q317/Q321),"-",Q317/Q321)</f>
        <v>-</v>
      </c>
    </row>
    <row r="318" spans="1:18" ht="30" customHeight="1">
      <c r="A318" s="32" t="s">
        <v>14</v>
      </c>
      <c r="C318" s="295"/>
      <c r="D318" s="30" t="str">
        <f>IF(ISERROR(C318/C321),"-",C318/C321)</f>
        <v>-</v>
      </c>
      <c r="E318" s="22"/>
      <c r="F318" s="295"/>
      <c r="G318" s="297"/>
      <c r="H318" s="297"/>
      <c r="I318" s="81">
        <f t="shared" si="48"/>
        <v>0</v>
      </c>
      <c r="J318" s="30" t="str">
        <f>IF(ISERROR(I318/I321),"-",I318/I321)</f>
        <v>-</v>
      </c>
      <c r="K318" s="22"/>
      <c r="L318" s="86" t="str">
        <f t="shared" si="49"/>
        <v>-</v>
      </c>
      <c r="M318" s="82" t="str">
        <f t="shared" si="50"/>
        <v>-</v>
      </c>
      <c r="N318" s="82" t="str">
        <f t="shared" si="51"/>
        <v>-</v>
      </c>
      <c r="O318" s="30" t="str">
        <f t="shared" si="52"/>
        <v>-</v>
      </c>
      <c r="Q318" s="295"/>
      <c r="R318" s="30" t="str">
        <f>IF(ISERROR(Q318/Q321),"-",Q318/Q321)</f>
        <v>-</v>
      </c>
    </row>
    <row r="319" spans="1:18" ht="30" customHeight="1">
      <c r="A319" s="32" t="s">
        <v>15</v>
      </c>
      <c r="C319" s="295"/>
      <c r="D319" s="30" t="str">
        <f>IF(ISERROR(C319/C321),"-",C319/C321)</f>
        <v>-</v>
      </c>
      <c r="E319" s="22"/>
      <c r="F319" s="295"/>
      <c r="G319" s="297"/>
      <c r="H319" s="297"/>
      <c r="I319" s="81">
        <f t="shared" si="48"/>
        <v>0</v>
      </c>
      <c r="J319" s="30" t="str">
        <f>IF(ISERROR(I319/I321),"-",I319/I321)</f>
        <v>-</v>
      </c>
      <c r="K319" s="22"/>
      <c r="L319" s="86" t="str">
        <f t="shared" si="49"/>
        <v>-</v>
      </c>
      <c r="M319" s="82" t="str">
        <f t="shared" si="50"/>
        <v>-</v>
      </c>
      <c r="N319" s="82" t="str">
        <f t="shared" si="51"/>
        <v>-</v>
      </c>
      <c r="O319" s="30" t="str">
        <f t="shared" si="52"/>
        <v>-</v>
      </c>
      <c r="Q319" s="295"/>
      <c r="R319" s="30" t="str">
        <f>IF(ISERROR(Q319/Q321),"-",Q319/Q321)</f>
        <v>-</v>
      </c>
    </row>
    <row r="320" spans="1:18" ht="30" customHeight="1" thickBot="1">
      <c r="A320" s="33" t="s">
        <v>17</v>
      </c>
      <c r="C320" s="295"/>
      <c r="D320" s="30" t="str">
        <f>IF(ISERROR(C320/C321),"-",C320/C321)</f>
        <v>-</v>
      </c>
      <c r="E320" s="22"/>
      <c r="F320" s="295"/>
      <c r="G320" s="297"/>
      <c r="H320" s="297"/>
      <c r="I320" s="81">
        <f t="shared" si="48"/>
        <v>0</v>
      </c>
      <c r="J320" s="30" t="str">
        <f>IF(ISERROR(I320/I321),"-",I320/I321)</f>
        <v>-</v>
      </c>
      <c r="K320" s="22"/>
      <c r="L320" s="86" t="str">
        <f t="shared" si="49"/>
        <v>-</v>
      </c>
      <c r="M320" s="82" t="str">
        <f t="shared" si="50"/>
        <v>-</v>
      </c>
      <c r="N320" s="82" t="str">
        <f t="shared" si="51"/>
        <v>-</v>
      </c>
      <c r="O320" s="30" t="str">
        <f t="shared" si="52"/>
        <v>-</v>
      </c>
      <c r="Q320" s="295"/>
      <c r="R320" s="30" t="str">
        <f>IF(ISERROR(Q320/Q321),"-",Q320/Q321)</f>
        <v>-</v>
      </c>
    </row>
    <row r="321" spans="1:18" ht="30" customHeight="1" thickBot="1">
      <c r="A321" s="34" t="s">
        <v>18</v>
      </c>
      <c r="C321" s="83">
        <f>SUM(C316:C320)</f>
        <v>0</v>
      </c>
      <c r="D321" s="84">
        <f>SUM(D316:D320)</f>
        <v>0</v>
      </c>
      <c r="E321" s="22"/>
      <c r="F321" s="83">
        <f>SUM(F316:F320)</f>
        <v>0</v>
      </c>
      <c r="G321" s="85">
        <f>SUM(G316:G320)</f>
        <v>0</v>
      </c>
      <c r="H321" s="85">
        <f>SUM(H316:H320)</f>
        <v>0</v>
      </c>
      <c r="I321" s="85">
        <f t="shared" si="48"/>
        <v>0</v>
      </c>
      <c r="J321" s="84">
        <f>SUM(J316:J320)</f>
        <v>0</v>
      </c>
      <c r="K321" s="22"/>
      <c r="L321" s="87" t="str">
        <f t="shared" si="49"/>
        <v>-</v>
      </c>
      <c r="M321" s="88" t="str">
        <f t="shared" si="50"/>
        <v>-</v>
      </c>
      <c r="N321" s="88" t="str">
        <f t="shared" si="51"/>
        <v>-</v>
      </c>
      <c r="O321" s="84" t="str">
        <f t="shared" si="52"/>
        <v>-</v>
      </c>
      <c r="Q321" s="83">
        <f>SUM(Q316:Q320)</f>
        <v>0</v>
      </c>
      <c r="R321" s="84">
        <f>SUM(R316:R320)</f>
        <v>0</v>
      </c>
    </row>
    <row r="322" spans="1:18" ht="13.5" customHeight="1"/>
    <row r="323" spans="1:18" ht="13.5" customHeight="1" thickBot="1"/>
    <row r="324" spans="1:18" ht="15.75" customHeight="1" thickBot="1">
      <c r="A324" s="741" t="s">
        <v>19</v>
      </c>
      <c r="B324" s="3"/>
      <c r="C324" s="743">
        <v>2010</v>
      </c>
      <c r="D324" s="744"/>
      <c r="E324" s="35"/>
      <c r="F324" s="36">
        <v>2011</v>
      </c>
      <c r="G324" s="37"/>
      <c r="H324" s="745" t="s">
        <v>148</v>
      </c>
      <c r="I324" s="746"/>
      <c r="J324" s="747"/>
      <c r="K324" s="37"/>
      <c r="L324" s="37"/>
      <c r="M324" s="37"/>
      <c r="N324" s="37"/>
      <c r="O324" s="37"/>
    </row>
    <row r="325" spans="1:18" ht="13.5" thickBot="1">
      <c r="A325" s="742"/>
      <c r="B325" s="3"/>
      <c r="C325" s="751"/>
      <c r="D325" s="752"/>
      <c r="F325" s="388"/>
      <c r="G325" s="74"/>
      <c r="H325" s="748"/>
      <c r="I325" s="749"/>
      <c r="J325" s="750"/>
      <c r="K325" s="75"/>
      <c r="L325" s="80"/>
      <c r="M325" s="80"/>
    </row>
    <row r="326" spans="1:18" ht="30.75" customHeight="1" thickBot="1">
      <c r="A326" s="38" t="s">
        <v>5</v>
      </c>
      <c r="B326" s="4"/>
      <c r="C326" s="39" t="s">
        <v>20</v>
      </c>
      <c r="D326" s="40" t="s">
        <v>21</v>
      </c>
      <c r="F326" s="41" t="s">
        <v>20</v>
      </c>
      <c r="G326" s="42"/>
      <c r="H326" s="727" t="s">
        <v>70</v>
      </c>
      <c r="I326" s="728"/>
      <c r="J326" s="729"/>
      <c r="K326" s="42"/>
      <c r="L326" s="80"/>
      <c r="M326" s="80"/>
    </row>
    <row r="327" spans="1:18" ht="30" customHeight="1">
      <c r="A327" s="12" t="str">
        <f>$A$27</f>
        <v>Lifetime Demand Savings (kW*Yrs)</v>
      </c>
      <c r="C327" s="298"/>
      <c r="D327" s="299"/>
      <c r="F327" s="304"/>
      <c r="G327" s="42"/>
      <c r="H327" s="730" t="s">
        <v>53</v>
      </c>
      <c r="I327" s="731"/>
      <c r="J327" s="307"/>
      <c r="K327" s="42"/>
      <c r="L327" s="43"/>
      <c r="M327" s="44"/>
    </row>
    <row r="328" spans="1:18" ht="30" customHeight="1">
      <c r="A328" s="1" t="str">
        <f>$A$28</f>
        <v>Lifetime Energy Savings (kWh)</v>
      </c>
      <c r="C328" s="300"/>
      <c r="D328" s="301"/>
      <c r="F328" s="305"/>
      <c r="G328" s="42"/>
      <c r="H328" s="732" t="s">
        <v>46</v>
      </c>
      <c r="I328" s="733"/>
      <c r="J328" s="308"/>
      <c r="K328" s="42"/>
      <c r="L328" s="78"/>
      <c r="M328" s="44"/>
    </row>
    <row r="329" spans="1:18" ht="30" customHeight="1" thickBot="1">
      <c r="A329" s="45" t="s">
        <v>22</v>
      </c>
      <c r="C329" s="302"/>
      <c r="D329" s="303"/>
      <c r="F329" s="306"/>
      <c r="H329" s="734" t="s">
        <v>83</v>
      </c>
      <c r="I329" s="735"/>
      <c r="J329" s="309"/>
      <c r="L329" s="79"/>
      <c r="M329" s="42"/>
    </row>
    <row r="331" spans="1:18" ht="13.5" thickBot="1">
      <c r="A331" s="227"/>
      <c r="B331" s="227"/>
      <c r="C331" s="227"/>
      <c r="D331" s="227"/>
      <c r="E331" s="227"/>
      <c r="F331" s="227"/>
      <c r="G331" s="227"/>
      <c r="H331" s="227"/>
      <c r="I331" s="227"/>
      <c r="J331" s="227"/>
      <c r="K331" s="227"/>
      <c r="L331" s="227"/>
      <c r="M331" s="227"/>
      <c r="N331" s="227"/>
      <c r="O331" s="227"/>
      <c r="P331" s="227"/>
      <c r="Q331" s="227"/>
      <c r="R331" s="227"/>
    </row>
    <row r="333" spans="1:18" ht="27.75">
      <c r="A333" s="760" t="str">
        <f>"Energy Efficiency Program Detail - "&amp;C336</f>
        <v>Energy Efficiency Program Detail - Program 11</v>
      </c>
      <c r="B333" s="761"/>
      <c r="C333" s="761"/>
      <c r="D333" s="761"/>
      <c r="E333" s="761"/>
      <c r="F333" s="761"/>
      <c r="G333" s="761"/>
      <c r="H333" s="761"/>
      <c r="I333" s="761"/>
      <c r="J333" s="761"/>
      <c r="K333" s="761"/>
      <c r="L333" s="761"/>
      <c r="M333" s="761"/>
      <c r="N333" s="761"/>
      <c r="O333" s="761"/>
      <c r="P333" s="761"/>
      <c r="Q333" s="761"/>
      <c r="R333" s="762"/>
    </row>
    <row r="334" spans="1:18">
      <c r="A334" s="17"/>
      <c r="B334" s="17"/>
      <c r="C334" s="17"/>
      <c r="D334" s="17"/>
      <c r="E334" s="17"/>
      <c r="F334" s="17"/>
      <c r="G334" s="17"/>
      <c r="H334" s="17"/>
      <c r="I334" s="17"/>
      <c r="J334" s="17"/>
      <c r="K334" s="17"/>
      <c r="L334" s="17"/>
      <c r="M334" s="17"/>
      <c r="N334" s="17"/>
      <c r="O334" s="17"/>
    </row>
    <row r="335" spans="1:18">
      <c r="A335" s="18"/>
      <c r="B335" s="18"/>
    </row>
    <row r="336" spans="1:18">
      <c r="A336" s="19" t="s">
        <v>0</v>
      </c>
      <c r="B336" s="18"/>
      <c r="C336" s="763" t="s">
        <v>207</v>
      </c>
      <c r="D336" s="764"/>
      <c r="E336" s="764"/>
      <c r="F336" s="764"/>
      <c r="G336" s="765"/>
      <c r="H336" s="3" t="s">
        <v>82</v>
      </c>
      <c r="J336" s="766"/>
      <c r="K336" s="767"/>
      <c r="L336" s="767"/>
      <c r="M336" s="767"/>
      <c r="N336" s="767"/>
      <c r="O336" s="767"/>
      <c r="P336" s="767"/>
      <c r="Q336" s="767"/>
      <c r="R336" s="768"/>
    </row>
    <row r="337" spans="1:18">
      <c r="A337" s="20" t="s">
        <v>1</v>
      </c>
      <c r="B337" s="18"/>
      <c r="C337" s="763" t="s">
        <v>54</v>
      </c>
      <c r="D337" s="764"/>
      <c r="E337" s="764"/>
      <c r="F337" s="764"/>
      <c r="G337" s="765"/>
      <c r="J337" s="769"/>
      <c r="K337" s="770"/>
      <c r="L337" s="770"/>
      <c r="M337" s="770"/>
      <c r="N337" s="770"/>
      <c r="O337" s="770"/>
      <c r="P337" s="770"/>
      <c r="Q337" s="770"/>
      <c r="R337" s="771"/>
    </row>
    <row r="338" spans="1:18">
      <c r="A338" s="20" t="s">
        <v>2</v>
      </c>
      <c r="B338" s="18"/>
      <c r="C338" s="763" t="s">
        <v>54</v>
      </c>
      <c r="D338" s="764"/>
      <c r="E338" s="764"/>
      <c r="F338" s="764"/>
      <c r="G338" s="765"/>
      <c r="J338" s="769"/>
      <c r="K338" s="770"/>
      <c r="L338" s="770"/>
      <c r="M338" s="770"/>
      <c r="N338" s="770"/>
      <c r="O338" s="770"/>
      <c r="P338" s="770"/>
      <c r="Q338" s="770"/>
      <c r="R338" s="771"/>
    </row>
    <row r="339" spans="1:18">
      <c r="A339" s="20" t="s">
        <v>3</v>
      </c>
      <c r="B339" s="18"/>
      <c r="C339" s="763">
        <v>11</v>
      </c>
      <c r="D339" s="764"/>
      <c r="E339" s="764"/>
      <c r="F339" s="764"/>
      <c r="G339" s="765"/>
      <c r="J339" s="772"/>
      <c r="K339" s="773"/>
      <c r="L339" s="773"/>
      <c r="M339" s="773"/>
      <c r="N339" s="773"/>
      <c r="O339" s="773"/>
      <c r="P339" s="773"/>
      <c r="Q339" s="773"/>
      <c r="R339" s="774"/>
    </row>
    <row r="340" spans="1:18">
      <c r="A340" s="18"/>
      <c r="B340" s="18"/>
    </row>
    <row r="341" spans="1:18" ht="13.5" thickBot="1">
      <c r="A341" s="18"/>
      <c r="B341" s="18"/>
    </row>
    <row r="342" spans="1:18" ht="15.75" customHeight="1" thickBot="1">
      <c r="A342" s="758" t="s">
        <v>4</v>
      </c>
      <c r="B342" s="3"/>
      <c r="C342" s="738" t="s">
        <v>144</v>
      </c>
      <c r="D342" s="740"/>
      <c r="E342" s="21"/>
      <c r="F342" s="738" t="s">
        <v>145</v>
      </c>
      <c r="G342" s="739"/>
      <c r="H342" s="739"/>
      <c r="I342" s="739"/>
      <c r="J342" s="740"/>
      <c r="K342" s="22"/>
      <c r="L342" s="738" t="s">
        <v>146</v>
      </c>
      <c r="M342" s="739"/>
      <c r="N342" s="739"/>
      <c r="O342" s="740"/>
      <c r="Q342" s="738" t="s">
        <v>147</v>
      </c>
      <c r="R342" s="740"/>
    </row>
    <row r="343" spans="1:18" ht="13.5" customHeight="1" thickBot="1">
      <c r="A343" s="759"/>
      <c r="B343" s="3"/>
      <c r="C343" s="753"/>
      <c r="D343" s="754"/>
      <c r="E343" s="21"/>
      <c r="F343" s="755"/>
      <c r="G343" s="756"/>
      <c r="H343" s="756"/>
      <c r="I343" s="756"/>
      <c r="J343" s="757"/>
      <c r="K343" s="22"/>
      <c r="L343" s="755"/>
      <c r="M343" s="756"/>
      <c r="N343" s="756"/>
      <c r="O343" s="757"/>
      <c r="Q343" s="753"/>
      <c r="R343" s="754"/>
    </row>
    <row r="344" spans="1:18" ht="13.5" customHeight="1" thickBot="1">
      <c r="A344" s="736" t="s">
        <v>5</v>
      </c>
      <c r="B344" s="3"/>
      <c r="C344" s="14" t="s">
        <v>6</v>
      </c>
      <c r="D344" s="14" t="s">
        <v>7</v>
      </c>
      <c r="E344" s="21"/>
      <c r="F344" s="738" t="s">
        <v>28</v>
      </c>
      <c r="G344" s="739"/>
      <c r="H344" s="739"/>
      <c r="I344" s="14" t="s">
        <v>6</v>
      </c>
      <c r="J344" s="14" t="s">
        <v>7</v>
      </c>
      <c r="K344" s="22"/>
      <c r="L344" s="738" t="s">
        <v>8</v>
      </c>
      <c r="M344" s="739"/>
      <c r="N344" s="739"/>
      <c r="O344" s="740"/>
      <c r="Q344" s="14" t="s">
        <v>6</v>
      </c>
      <c r="R344" s="14" t="s">
        <v>7</v>
      </c>
    </row>
    <row r="345" spans="1:18" ht="13.5" customHeight="1" thickBot="1">
      <c r="A345" s="737"/>
      <c r="B345" s="4"/>
      <c r="C345" s="16" t="s">
        <v>12</v>
      </c>
      <c r="D345" s="16" t="s">
        <v>12</v>
      </c>
      <c r="E345" s="23"/>
      <c r="F345" s="16" t="s">
        <v>9</v>
      </c>
      <c r="G345" s="24" t="s">
        <v>10</v>
      </c>
      <c r="H345" s="25" t="s">
        <v>11</v>
      </c>
      <c r="I345" s="16" t="s">
        <v>13</v>
      </c>
      <c r="J345" s="16" t="s">
        <v>13</v>
      </c>
      <c r="K345" s="22"/>
      <c r="L345" s="16" t="s">
        <v>9</v>
      </c>
      <c r="M345" s="24" t="s">
        <v>10</v>
      </c>
      <c r="N345" s="25" t="s">
        <v>11</v>
      </c>
      <c r="O345" s="15" t="s">
        <v>6</v>
      </c>
      <c r="Q345" s="16" t="s">
        <v>12</v>
      </c>
      <c r="R345" s="16" t="s">
        <v>12</v>
      </c>
    </row>
    <row r="346" spans="1:18" ht="30" customHeight="1">
      <c r="A346" s="26" t="s">
        <v>241</v>
      </c>
      <c r="C346" s="294"/>
      <c r="D346" s="27" t="str">
        <f>IF(ISERROR(C346/C351),"-",C346/C351)</f>
        <v>-</v>
      </c>
      <c r="E346" s="22"/>
      <c r="F346" s="294"/>
      <c r="G346" s="296"/>
      <c r="H346" s="296"/>
      <c r="I346" s="28">
        <f t="shared" ref="I346:I351" si="53">F346+G346+H346</f>
        <v>0</v>
      </c>
      <c r="J346" s="27" t="str">
        <f>IF(ISERROR(I346/I351),"-",I346/I351)</f>
        <v>-</v>
      </c>
      <c r="K346" s="22"/>
      <c r="L346" s="29" t="str">
        <f t="shared" ref="L346:L351" si="54">IF(ISERROR(F346/$C346),"-",F346/$C346)</f>
        <v>-</v>
      </c>
      <c r="M346" s="89" t="str">
        <f t="shared" ref="M346:M351" si="55">IF(ISERROR(G346/$C346),"-",G346/$C346)</f>
        <v>-</v>
      </c>
      <c r="N346" s="89" t="str">
        <f t="shared" ref="N346:N351" si="56">IF(ISERROR(H346/$C346),"-",H346/$C346)</f>
        <v>-</v>
      </c>
      <c r="O346" s="27" t="str">
        <f t="shared" ref="O346:O351" si="57">IF(ISERROR(I346/$C346),"-",I346/$C346)</f>
        <v>-</v>
      </c>
      <c r="Q346" s="294"/>
      <c r="R346" s="27" t="str">
        <f>IF(ISERROR(Q346/Q351),"-",Q346/Q351)</f>
        <v>-</v>
      </c>
    </row>
    <row r="347" spans="1:18" ht="30" customHeight="1">
      <c r="A347" s="32" t="s">
        <v>179</v>
      </c>
      <c r="C347" s="295"/>
      <c r="D347" s="30" t="str">
        <f>IF(ISERROR(C347/C351),"-",C347/C351)</f>
        <v>-</v>
      </c>
      <c r="E347" s="22"/>
      <c r="F347" s="295"/>
      <c r="G347" s="297"/>
      <c r="H347" s="297"/>
      <c r="I347" s="81">
        <f t="shared" si="53"/>
        <v>0</v>
      </c>
      <c r="J347" s="30" t="str">
        <f>IF(ISERROR(I347/I351),"-",I347/I351)</f>
        <v>-</v>
      </c>
      <c r="K347" s="22"/>
      <c r="L347" s="86" t="str">
        <f t="shared" si="54"/>
        <v>-</v>
      </c>
      <c r="M347" s="82" t="str">
        <f t="shared" si="55"/>
        <v>-</v>
      </c>
      <c r="N347" s="82" t="str">
        <f t="shared" si="56"/>
        <v>-</v>
      </c>
      <c r="O347" s="30" t="str">
        <f t="shared" si="57"/>
        <v>-</v>
      </c>
      <c r="Q347" s="295"/>
      <c r="R347" s="30" t="str">
        <f>IF(ISERROR(Q347/Q351),"-",Q347/Q351)</f>
        <v>-</v>
      </c>
    </row>
    <row r="348" spans="1:18" ht="30" customHeight="1">
      <c r="A348" s="32" t="s">
        <v>14</v>
      </c>
      <c r="C348" s="295"/>
      <c r="D348" s="30" t="str">
        <f>IF(ISERROR(C348/C351),"-",C348/C351)</f>
        <v>-</v>
      </c>
      <c r="E348" s="22"/>
      <c r="F348" s="295"/>
      <c r="G348" s="297"/>
      <c r="H348" s="297"/>
      <c r="I348" s="81">
        <f t="shared" si="53"/>
        <v>0</v>
      </c>
      <c r="J348" s="30" t="str">
        <f>IF(ISERROR(I348/I351),"-",I348/I351)</f>
        <v>-</v>
      </c>
      <c r="K348" s="22"/>
      <c r="L348" s="86" t="str">
        <f t="shared" si="54"/>
        <v>-</v>
      </c>
      <c r="M348" s="82" t="str">
        <f t="shared" si="55"/>
        <v>-</v>
      </c>
      <c r="N348" s="82" t="str">
        <f t="shared" si="56"/>
        <v>-</v>
      </c>
      <c r="O348" s="30" t="str">
        <f t="shared" si="57"/>
        <v>-</v>
      </c>
      <c r="Q348" s="295"/>
      <c r="R348" s="30" t="str">
        <f>IF(ISERROR(Q348/Q351),"-",Q348/Q351)</f>
        <v>-</v>
      </c>
    </row>
    <row r="349" spans="1:18" ht="30" customHeight="1">
      <c r="A349" s="32" t="s">
        <v>15</v>
      </c>
      <c r="C349" s="295"/>
      <c r="D349" s="30" t="str">
        <f>IF(ISERROR(C349/C351),"-",C349/C351)</f>
        <v>-</v>
      </c>
      <c r="E349" s="22"/>
      <c r="F349" s="295"/>
      <c r="G349" s="297"/>
      <c r="H349" s="297"/>
      <c r="I349" s="81">
        <f t="shared" si="53"/>
        <v>0</v>
      </c>
      <c r="J349" s="30" t="str">
        <f>IF(ISERROR(I349/I351),"-",I349/I351)</f>
        <v>-</v>
      </c>
      <c r="K349" s="22"/>
      <c r="L349" s="86" t="str">
        <f t="shared" si="54"/>
        <v>-</v>
      </c>
      <c r="M349" s="82" t="str">
        <f t="shared" si="55"/>
        <v>-</v>
      </c>
      <c r="N349" s="82" t="str">
        <f t="shared" si="56"/>
        <v>-</v>
      </c>
      <c r="O349" s="30" t="str">
        <f t="shared" si="57"/>
        <v>-</v>
      </c>
      <c r="Q349" s="295"/>
      <c r="R349" s="30" t="str">
        <f>IF(ISERROR(Q349/Q351),"-",Q349/Q351)</f>
        <v>-</v>
      </c>
    </row>
    <row r="350" spans="1:18" ht="30" customHeight="1" thickBot="1">
      <c r="A350" s="33" t="s">
        <v>17</v>
      </c>
      <c r="C350" s="295"/>
      <c r="D350" s="30" t="str">
        <f>IF(ISERROR(C350/C351),"-",C350/C351)</f>
        <v>-</v>
      </c>
      <c r="E350" s="22"/>
      <c r="F350" s="295"/>
      <c r="G350" s="297"/>
      <c r="H350" s="297"/>
      <c r="I350" s="81">
        <f t="shared" si="53"/>
        <v>0</v>
      </c>
      <c r="J350" s="30" t="str">
        <f>IF(ISERROR(I350/I351),"-",I350/I351)</f>
        <v>-</v>
      </c>
      <c r="K350" s="22"/>
      <c r="L350" s="86" t="str">
        <f t="shared" si="54"/>
        <v>-</v>
      </c>
      <c r="M350" s="82" t="str">
        <f t="shared" si="55"/>
        <v>-</v>
      </c>
      <c r="N350" s="82" t="str">
        <f t="shared" si="56"/>
        <v>-</v>
      </c>
      <c r="O350" s="30" t="str">
        <f t="shared" si="57"/>
        <v>-</v>
      </c>
      <c r="Q350" s="295"/>
      <c r="R350" s="30" t="str">
        <f>IF(ISERROR(Q350/Q351),"-",Q350/Q351)</f>
        <v>-</v>
      </c>
    </row>
    <row r="351" spans="1:18" ht="30" customHeight="1" thickBot="1">
      <c r="A351" s="34" t="s">
        <v>18</v>
      </c>
      <c r="C351" s="83">
        <f>SUM(C346:C350)</f>
        <v>0</v>
      </c>
      <c r="D351" s="84">
        <f>SUM(D346:D350)</f>
        <v>0</v>
      </c>
      <c r="E351" s="22"/>
      <c r="F351" s="83">
        <f>SUM(F346:F350)</f>
        <v>0</v>
      </c>
      <c r="G351" s="85">
        <f>SUM(G346:G350)</f>
        <v>0</v>
      </c>
      <c r="H351" s="85">
        <f>SUM(H346:H350)</f>
        <v>0</v>
      </c>
      <c r="I351" s="85">
        <f t="shared" si="53"/>
        <v>0</v>
      </c>
      <c r="J351" s="84">
        <f>SUM(J346:J350)</f>
        <v>0</v>
      </c>
      <c r="K351" s="22"/>
      <c r="L351" s="87" t="str">
        <f t="shared" si="54"/>
        <v>-</v>
      </c>
      <c r="M351" s="88" t="str">
        <f t="shared" si="55"/>
        <v>-</v>
      </c>
      <c r="N351" s="88" t="str">
        <f t="shared" si="56"/>
        <v>-</v>
      </c>
      <c r="O351" s="84" t="str">
        <f t="shared" si="57"/>
        <v>-</v>
      </c>
      <c r="Q351" s="83">
        <f>SUM(Q346:Q350)</f>
        <v>0</v>
      </c>
      <c r="R351" s="84">
        <f>SUM(R346:R350)</f>
        <v>0</v>
      </c>
    </row>
    <row r="352" spans="1:18" ht="13.5" customHeight="1"/>
    <row r="353" spans="1:18" ht="13.5" customHeight="1" thickBot="1"/>
    <row r="354" spans="1:18" ht="15.75" customHeight="1" thickBot="1">
      <c r="A354" s="741" t="s">
        <v>19</v>
      </c>
      <c r="B354" s="3"/>
      <c r="C354" s="743">
        <v>2010</v>
      </c>
      <c r="D354" s="744"/>
      <c r="E354" s="35"/>
      <c r="F354" s="36">
        <v>2011</v>
      </c>
      <c r="G354" s="37"/>
      <c r="H354" s="745" t="s">
        <v>148</v>
      </c>
      <c r="I354" s="746"/>
      <c r="J354" s="747"/>
      <c r="K354" s="37"/>
      <c r="L354" s="37"/>
      <c r="M354" s="37"/>
      <c r="N354" s="37"/>
      <c r="O354" s="37"/>
    </row>
    <row r="355" spans="1:18" ht="13.5" thickBot="1">
      <c r="A355" s="742"/>
      <c r="B355" s="3"/>
      <c r="C355" s="751"/>
      <c r="D355" s="752"/>
      <c r="F355" s="388"/>
      <c r="G355" s="74"/>
      <c r="H355" s="748"/>
      <c r="I355" s="749"/>
      <c r="J355" s="750"/>
      <c r="K355" s="75"/>
      <c r="L355" s="80"/>
      <c r="M355" s="80"/>
    </row>
    <row r="356" spans="1:18" ht="30.75" customHeight="1" thickBot="1">
      <c r="A356" s="38" t="s">
        <v>5</v>
      </c>
      <c r="B356" s="4"/>
      <c r="C356" s="39" t="s">
        <v>20</v>
      </c>
      <c r="D356" s="40" t="s">
        <v>21</v>
      </c>
      <c r="F356" s="41" t="s">
        <v>20</v>
      </c>
      <c r="G356" s="42"/>
      <c r="H356" s="727" t="s">
        <v>70</v>
      </c>
      <c r="I356" s="728"/>
      <c r="J356" s="729"/>
      <c r="K356" s="42"/>
      <c r="L356" s="80"/>
      <c r="M356" s="80"/>
    </row>
    <row r="357" spans="1:18" ht="30" customHeight="1">
      <c r="A357" s="12" t="str">
        <f>$A$27</f>
        <v>Lifetime Demand Savings (kW*Yrs)</v>
      </c>
      <c r="C357" s="298"/>
      <c r="D357" s="299"/>
      <c r="F357" s="304"/>
      <c r="G357" s="42"/>
      <c r="H357" s="730" t="s">
        <v>53</v>
      </c>
      <c r="I357" s="731"/>
      <c r="J357" s="307"/>
      <c r="K357" s="42"/>
      <c r="L357" s="43"/>
      <c r="M357" s="44"/>
    </row>
    <row r="358" spans="1:18" ht="30" customHeight="1">
      <c r="A358" s="1" t="str">
        <f>$A$28</f>
        <v>Lifetime Energy Savings (kWh)</v>
      </c>
      <c r="C358" s="300"/>
      <c r="D358" s="301"/>
      <c r="F358" s="305"/>
      <c r="G358" s="42"/>
      <c r="H358" s="732" t="s">
        <v>46</v>
      </c>
      <c r="I358" s="733"/>
      <c r="J358" s="308"/>
      <c r="K358" s="42"/>
      <c r="L358" s="78"/>
      <c r="M358" s="44"/>
    </row>
    <row r="359" spans="1:18" ht="30" customHeight="1" thickBot="1">
      <c r="A359" s="45" t="s">
        <v>22</v>
      </c>
      <c r="C359" s="302"/>
      <c r="D359" s="303"/>
      <c r="F359" s="306"/>
      <c r="H359" s="734" t="s">
        <v>83</v>
      </c>
      <c r="I359" s="735"/>
      <c r="J359" s="309"/>
      <c r="L359" s="79"/>
      <c r="M359" s="42"/>
    </row>
    <row r="361" spans="1:18" ht="13.5" thickBot="1">
      <c r="A361" s="227"/>
      <c r="B361" s="227"/>
      <c r="C361" s="227"/>
      <c r="D361" s="227"/>
      <c r="E361" s="227"/>
      <c r="F361" s="227"/>
      <c r="G361" s="227"/>
      <c r="H361" s="227"/>
      <c r="I361" s="227"/>
      <c r="J361" s="227"/>
      <c r="K361" s="227"/>
      <c r="L361" s="227"/>
      <c r="M361" s="227"/>
      <c r="N361" s="227"/>
      <c r="O361" s="227"/>
      <c r="P361" s="227"/>
      <c r="Q361" s="227"/>
      <c r="R361" s="227"/>
    </row>
    <row r="363" spans="1:18" ht="27.75">
      <c r="A363" s="760" t="str">
        <f>"Energy Efficiency Program Detail - "&amp;C366</f>
        <v>Energy Efficiency Program Detail - Program 12</v>
      </c>
      <c r="B363" s="761"/>
      <c r="C363" s="761"/>
      <c r="D363" s="761"/>
      <c r="E363" s="761"/>
      <c r="F363" s="761"/>
      <c r="G363" s="761"/>
      <c r="H363" s="761"/>
      <c r="I363" s="761"/>
      <c r="J363" s="761"/>
      <c r="K363" s="761"/>
      <c r="L363" s="761"/>
      <c r="M363" s="761"/>
      <c r="N363" s="761"/>
      <c r="O363" s="761"/>
      <c r="P363" s="761"/>
      <c r="Q363" s="761"/>
      <c r="R363" s="762"/>
    </row>
    <row r="364" spans="1:18">
      <c r="A364" s="17"/>
      <c r="B364" s="17"/>
      <c r="C364" s="17"/>
      <c r="D364" s="17"/>
      <c r="E364" s="17"/>
      <c r="F364" s="17"/>
      <c r="G364" s="17"/>
      <c r="H364" s="17"/>
      <c r="I364" s="17"/>
      <c r="J364" s="17"/>
      <c r="K364" s="17"/>
      <c r="L364" s="17"/>
      <c r="M364" s="17"/>
      <c r="N364" s="17"/>
      <c r="O364" s="17"/>
    </row>
    <row r="365" spans="1:18">
      <c r="A365" s="18"/>
      <c r="B365" s="18"/>
    </row>
    <row r="366" spans="1:18">
      <c r="A366" s="19" t="s">
        <v>0</v>
      </c>
      <c r="B366" s="18"/>
      <c r="C366" s="763" t="s">
        <v>208</v>
      </c>
      <c r="D366" s="764"/>
      <c r="E366" s="764"/>
      <c r="F366" s="764"/>
      <c r="G366" s="765"/>
      <c r="H366" s="3" t="s">
        <v>82</v>
      </c>
      <c r="J366" s="766"/>
      <c r="K366" s="767"/>
      <c r="L366" s="767"/>
      <c r="M366" s="767"/>
      <c r="N366" s="767"/>
      <c r="O366" s="767"/>
      <c r="P366" s="767"/>
      <c r="Q366" s="767"/>
      <c r="R366" s="768"/>
    </row>
    <row r="367" spans="1:18">
      <c r="A367" s="20" t="s">
        <v>1</v>
      </c>
      <c r="B367" s="18"/>
      <c r="C367" s="763" t="s">
        <v>54</v>
      </c>
      <c r="D367" s="764"/>
      <c r="E367" s="764"/>
      <c r="F367" s="764"/>
      <c r="G367" s="765"/>
      <c r="J367" s="769"/>
      <c r="K367" s="770"/>
      <c r="L367" s="770"/>
      <c r="M367" s="770"/>
      <c r="N367" s="770"/>
      <c r="O367" s="770"/>
      <c r="P367" s="770"/>
      <c r="Q367" s="770"/>
      <c r="R367" s="771"/>
    </row>
    <row r="368" spans="1:18">
      <c r="A368" s="20" t="s">
        <v>2</v>
      </c>
      <c r="B368" s="18"/>
      <c r="C368" s="763" t="s">
        <v>54</v>
      </c>
      <c r="D368" s="764"/>
      <c r="E368" s="764"/>
      <c r="F368" s="764"/>
      <c r="G368" s="765"/>
      <c r="J368" s="769"/>
      <c r="K368" s="770"/>
      <c r="L368" s="770"/>
      <c r="M368" s="770"/>
      <c r="N368" s="770"/>
      <c r="O368" s="770"/>
      <c r="P368" s="770"/>
      <c r="Q368" s="770"/>
      <c r="R368" s="771"/>
    </row>
    <row r="369" spans="1:18">
      <c r="A369" s="20" t="s">
        <v>3</v>
      </c>
      <c r="B369" s="18"/>
      <c r="C369" s="763">
        <v>12</v>
      </c>
      <c r="D369" s="764"/>
      <c r="E369" s="764"/>
      <c r="F369" s="764"/>
      <c r="G369" s="765"/>
      <c r="J369" s="772"/>
      <c r="K369" s="773"/>
      <c r="L369" s="773"/>
      <c r="M369" s="773"/>
      <c r="N369" s="773"/>
      <c r="O369" s="773"/>
      <c r="P369" s="773"/>
      <c r="Q369" s="773"/>
      <c r="R369" s="774"/>
    </row>
    <row r="370" spans="1:18">
      <c r="A370" s="18"/>
      <c r="B370" s="18"/>
    </row>
    <row r="371" spans="1:18" ht="13.5" thickBot="1">
      <c r="A371" s="18"/>
      <c r="B371" s="18"/>
    </row>
    <row r="372" spans="1:18" ht="15.75" customHeight="1" thickBot="1">
      <c r="A372" s="758" t="s">
        <v>4</v>
      </c>
      <c r="B372" s="3"/>
      <c r="C372" s="738" t="s">
        <v>144</v>
      </c>
      <c r="D372" s="740"/>
      <c r="E372" s="21"/>
      <c r="F372" s="738" t="s">
        <v>145</v>
      </c>
      <c r="G372" s="739"/>
      <c r="H372" s="739"/>
      <c r="I372" s="739"/>
      <c r="J372" s="740"/>
      <c r="K372" s="22"/>
      <c r="L372" s="738" t="s">
        <v>146</v>
      </c>
      <c r="M372" s="739"/>
      <c r="N372" s="739"/>
      <c r="O372" s="740"/>
      <c r="Q372" s="738" t="s">
        <v>147</v>
      </c>
      <c r="R372" s="740"/>
    </row>
    <row r="373" spans="1:18" ht="13.5" customHeight="1" thickBot="1">
      <c r="A373" s="759"/>
      <c r="B373" s="3"/>
      <c r="C373" s="753"/>
      <c r="D373" s="754"/>
      <c r="E373" s="21"/>
      <c r="F373" s="755"/>
      <c r="G373" s="756"/>
      <c r="H373" s="756"/>
      <c r="I373" s="756"/>
      <c r="J373" s="757"/>
      <c r="K373" s="22"/>
      <c r="L373" s="755"/>
      <c r="M373" s="756"/>
      <c r="N373" s="756"/>
      <c r="O373" s="757"/>
      <c r="Q373" s="753"/>
      <c r="R373" s="754"/>
    </row>
    <row r="374" spans="1:18" ht="13.5" customHeight="1" thickBot="1">
      <c r="A374" s="736" t="s">
        <v>5</v>
      </c>
      <c r="B374" s="3"/>
      <c r="C374" s="14" t="s">
        <v>6</v>
      </c>
      <c r="D374" s="14" t="s">
        <v>7</v>
      </c>
      <c r="E374" s="21"/>
      <c r="F374" s="738" t="s">
        <v>28</v>
      </c>
      <c r="G374" s="739"/>
      <c r="H374" s="739"/>
      <c r="I374" s="14" t="s">
        <v>6</v>
      </c>
      <c r="J374" s="14" t="s">
        <v>7</v>
      </c>
      <c r="K374" s="22"/>
      <c r="L374" s="738" t="s">
        <v>8</v>
      </c>
      <c r="M374" s="739"/>
      <c r="N374" s="739"/>
      <c r="O374" s="740"/>
      <c r="Q374" s="14" t="s">
        <v>6</v>
      </c>
      <c r="R374" s="14" t="s">
        <v>7</v>
      </c>
    </row>
    <row r="375" spans="1:18" ht="13.5" customHeight="1" thickBot="1">
      <c r="A375" s="737"/>
      <c r="B375" s="4"/>
      <c r="C375" s="16" t="s">
        <v>12</v>
      </c>
      <c r="D375" s="16" t="s">
        <v>12</v>
      </c>
      <c r="E375" s="23"/>
      <c r="F375" s="16" t="s">
        <v>9</v>
      </c>
      <c r="G375" s="24" t="s">
        <v>10</v>
      </c>
      <c r="H375" s="25" t="s">
        <v>11</v>
      </c>
      <c r="I375" s="16" t="s">
        <v>13</v>
      </c>
      <c r="J375" s="16" t="s">
        <v>13</v>
      </c>
      <c r="K375" s="22"/>
      <c r="L375" s="16" t="s">
        <v>9</v>
      </c>
      <c r="M375" s="24" t="s">
        <v>10</v>
      </c>
      <c r="N375" s="25" t="s">
        <v>11</v>
      </c>
      <c r="O375" s="15" t="s">
        <v>6</v>
      </c>
      <c r="Q375" s="16" t="s">
        <v>12</v>
      </c>
      <c r="R375" s="16" t="s">
        <v>12</v>
      </c>
    </row>
    <row r="376" spans="1:18" ht="30" customHeight="1">
      <c r="A376" s="26" t="s">
        <v>241</v>
      </c>
      <c r="C376" s="294"/>
      <c r="D376" s="27" t="str">
        <f>IF(ISERROR(C376/C381),"-",C376/C381)</f>
        <v>-</v>
      </c>
      <c r="E376" s="22"/>
      <c r="F376" s="294"/>
      <c r="G376" s="296"/>
      <c r="H376" s="296"/>
      <c r="I376" s="28">
        <f t="shared" ref="I376:I381" si="58">F376+G376+H376</f>
        <v>0</v>
      </c>
      <c r="J376" s="27" t="str">
        <f>IF(ISERROR(I376/I381),"-",I376/I381)</f>
        <v>-</v>
      </c>
      <c r="K376" s="22"/>
      <c r="L376" s="29" t="str">
        <f t="shared" ref="L376:L381" si="59">IF(ISERROR(F376/$C376),"-",F376/$C376)</f>
        <v>-</v>
      </c>
      <c r="M376" s="89" t="str">
        <f t="shared" ref="M376:M381" si="60">IF(ISERROR(G376/$C376),"-",G376/$C376)</f>
        <v>-</v>
      </c>
      <c r="N376" s="89" t="str">
        <f t="shared" ref="N376:N381" si="61">IF(ISERROR(H376/$C376),"-",H376/$C376)</f>
        <v>-</v>
      </c>
      <c r="O376" s="27" t="str">
        <f t="shared" ref="O376:O381" si="62">IF(ISERROR(I376/$C376),"-",I376/$C376)</f>
        <v>-</v>
      </c>
      <c r="Q376" s="294"/>
      <c r="R376" s="27" t="str">
        <f>IF(ISERROR(Q376/Q381),"-",Q376/Q381)</f>
        <v>-</v>
      </c>
    </row>
    <row r="377" spans="1:18" ht="30" customHeight="1">
      <c r="A377" s="32" t="s">
        <v>179</v>
      </c>
      <c r="C377" s="295"/>
      <c r="D377" s="30" t="str">
        <f>IF(ISERROR(C377/C381),"-",C377/C381)</f>
        <v>-</v>
      </c>
      <c r="E377" s="22"/>
      <c r="F377" s="295"/>
      <c r="G377" s="297"/>
      <c r="H377" s="297"/>
      <c r="I377" s="81">
        <f t="shared" si="58"/>
        <v>0</v>
      </c>
      <c r="J377" s="30" t="str">
        <f>IF(ISERROR(I377/I381),"-",I377/I381)</f>
        <v>-</v>
      </c>
      <c r="K377" s="22"/>
      <c r="L377" s="86" t="str">
        <f t="shared" si="59"/>
        <v>-</v>
      </c>
      <c r="M377" s="82" t="str">
        <f t="shared" si="60"/>
        <v>-</v>
      </c>
      <c r="N377" s="82" t="str">
        <f t="shared" si="61"/>
        <v>-</v>
      </c>
      <c r="O377" s="30" t="str">
        <f t="shared" si="62"/>
        <v>-</v>
      </c>
      <c r="Q377" s="295"/>
      <c r="R377" s="30" t="str">
        <f>IF(ISERROR(Q377/Q381),"-",Q377/Q381)</f>
        <v>-</v>
      </c>
    </row>
    <row r="378" spans="1:18" ht="30" customHeight="1">
      <c r="A378" s="32" t="s">
        <v>14</v>
      </c>
      <c r="C378" s="295"/>
      <c r="D378" s="30" t="str">
        <f>IF(ISERROR(C378/C381),"-",C378/C381)</f>
        <v>-</v>
      </c>
      <c r="E378" s="22"/>
      <c r="F378" s="295"/>
      <c r="G378" s="297"/>
      <c r="H378" s="297"/>
      <c r="I378" s="81">
        <f t="shared" si="58"/>
        <v>0</v>
      </c>
      <c r="J378" s="30" t="str">
        <f>IF(ISERROR(I378/I381),"-",I378/I381)</f>
        <v>-</v>
      </c>
      <c r="K378" s="22"/>
      <c r="L378" s="86" t="str">
        <f t="shared" si="59"/>
        <v>-</v>
      </c>
      <c r="M378" s="82" t="str">
        <f t="shared" si="60"/>
        <v>-</v>
      </c>
      <c r="N378" s="82" t="str">
        <f t="shared" si="61"/>
        <v>-</v>
      </c>
      <c r="O378" s="30" t="str">
        <f t="shared" si="62"/>
        <v>-</v>
      </c>
      <c r="Q378" s="295"/>
      <c r="R378" s="30" t="str">
        <f>IF(ISERROR(Q378/Q381),"-",Q378/Q381)</f>
        <v>-</v>
      </c>
    </row>
    <row r="379" spans="1:18" ht="30" customHeight="1">
      <c r="A379" s="32" t="s">
        <v>15</v>
      </c>
      <c r="C379" s="295"/>
      <c r="D379" s="30" t="str">
        <f>IF(ISERROR(C379/C381),"-",C379/C381)</f>
        <v>-</v>
      </c>
      <c r="E379" s="22"/>
      <c r="F379" s="295"/>
      <c r="G379" s="297"/>
      <c r="H379" s="297"/>
      <c r="I379" s="81">
        <f t="shared" si="58"/>
        <v>0</v>
      </c>
      <c r="J379" s="30" t="str">
        <f>IF(ISERROR(I379/I381),"-",I379/I381)</f>
        <v>-</v>
      </c>
      <c r="K379" s="22"/>
      <c r="L379" s="86" t="str">
        <f t="shared" si="59"/>
        <v>-</v>
      </c>
      <c r="M379" s="82" t="str">
        <f t="shared" si="60"/>
        <v>-</v>
      </c>
      <c r="N379" s="82" t="str">
        <f t="shared" si="61"/>
        <v>-</v>
      </c>
      <c r="O379" s="30" t="str">
        <f t="shared" si="62"/>
        <v>-</v>
      </c>
      <c r="Q379" s="295"/>
      <c r="R379" s="30" t="str">
        <f>IF(ISERROR(Q379/Q381),"-",Q379/Q381)</f>
        <v>-</v>
      </c>
    </row>
    <row r="380" spans="1:18" ht="30" customHeight="1" thickBot="1">
      <c r="A380" s="33" t="s">
        <v>17</v>
      </c>
      <c r="C380" s="295"/>
      <c r="D380" s="30" t="str">
        <f>IF(ISERROR(C380/C381),"-",C380/C381)</f>
        <v>-</v>
      </c>
      <c r="E380" s="22"/>
      <c r="F380" s="295"/>
      <c r="G380" s="297"/>
      <c r="H380" s="297"/>
      <c r="I380" s="81">
        <f t="shared" si="58"/>
        <v>0</v>
      </c>
      <c r="J380" s="30" t="str">
        <f>IF(ISERROR(I380/I381),"-",I380/I381)</f>
        <v>-</v>
      </c>
      <c r="K380" s="22"/>
      <c r="L380" s="86" t="str">
        <f t="shared" si="59"/>
        <v>-</v>
      </c>
      <c r="M380" s="82" t="str">
        <f t="shared" si="60"/>
        <v>-</v>
      </c>
      <c r="N380" s="82" t="str">
        <f t="shared" si="61"/>
        <v>-</v>
      </c>
      <c r="O380" s="30" t="str">
        <f t="shared" si="62"/>
        <v>-</v>
      </c>
      <c r="Q380" s="295"/>
      <c r="R380" s="30" t="str">
        <f>IF(ISERROR(Q380/Q381),"-",Q380/Q381)</f>
        <v>-</v>
      </c>
    </row>
    <row r="381" spans="1:18" ht="30" customHeight="1" thickBot="1">
      <c r="A381" s="34" t="s">
        <v>18</v>
      </c>
      <c r="C381" s="83">
        <f>SUM(C376:C380)</f>
        <v>0</v>
      </c>
      <c r="D381" s="84">
        <f>SUM(D376:D380)</f>
        <v>0</v>
      </c>
      <c r="E381" s="22"/>
      <c r="F381" s="83">
        <f>SUM(F376:F380)</f>
        <v>0</v>
      </c>
      <c r="G381" s="85">
        <f>SUM(G376:G380)</f>
        <v>0</v>
      </c>
      <c r="H381" s="85">
        <f>SUM(H376:H380)</f>
        <v>0</v>
      </c>
      <c r="I381" s="85">
        <f t="shared" si="58"/>
        <v>0</v>
      </c>
      <c r="J381" s="84">
        <f>SUM(J376:J380)</f>
        <v>0</v>
      </c>
      <c r="K381" s="22"/>
      <c r="L381" s="87" t="str">
        <f t="shared" si="59"/>
        <v>-</v>
      </c>
      <c r="M381" s="88" t="str">
        <f t="shared" si="60"/>
        <v>-</v>
      </c>
      <c r="N381" s="88" t="str">
        <f t="shared" si="61"/>
        <v>-</v>
      </c>
      <c r="O381" s="84" t="str">
        <f t="shared" si="62"/>
        <v>-</v>
      </c>
      <c r="Q381" s="83">
        <f>SUM(Q376:Q380)</f>
        <v>0</v>
      </c>
      <c r="R381" s="84">
        <f>SUM(R376:R380)</f>
        <v>0</v>
      </c>
    </row>
    <row r="382" spans="1:18" ht="13.5" customHeight="1"/>
    <row r="383" spans="1:18" ht="13.5" customHeight="1" thickBot="1"/>
    <row r="384" spans="1:18" ht="15.75" customHeight="1" thickBot="1">
      <c r="A384" s="741" t="s">
        <v>19</v>
      </c>
      <c r="B384" s="3"/>
      <c r="C384" s="743">
        <v>2010</v>
      </c>
      <c r="D384" s="744"/>
      <c r="E384" s="35"/>
      <c r="F384" s="36">
        <v>2011</v>
      </c>
      <c r="G384" s="37"/>
      <c r="H384" s="745" t="s">
        <v>148</v>
      </c>
      <c r="I384" s="746"/>
      <c r="J384" s="747"/>
      <c r="K384" s="37"/>
      <c r="L384" s="37"/>
      <c r="M384" s="37"/>
      <c r="N384" s="37"/>
      <c r="O384" s="37"/>
    </row>
    <row r="385" spans="1:18" ht="13.5" thickBot="1">
      <c r="A385" s="742"/>
      <c r="B385" s="3"/>
      <c r="C385" s="751"/>
      <c r="D385" s="752"/>
      <c r="F385" s="388"/>
      <c r="G385" s="74"/>
      <c r="H385" s="748"/>
      <c r="I385" s="749"/>
      <c r="J385" s="750"/>
      <c r="K385" s="75"/>
      <c r="L385" s="80"/>
      <c r="M385" s="80"/>
    </row>
    <row r="386" spans="1:18" ht="30.75" customHeight="1" thickBot="1">
      <c r="A386" s="38" t="s">
        <v>5</v>
      </c>
      <c r="B386" s="4"/>
      <c r="C386" s="39" t="s">
        <v>20</v>
      </c>
      <c r="D386" s="40" t="s">
        <v>21</v>
      </c>
      <c r="F386" s="41" t="s">
        <v>20</v>
      </c>
      <c r="G386" s="42"/>
      <c r="H386" s="727" t="s">
        <v>70</v>
      </c>
      <c r="I386" s="728"/>
      <c r="J386" s="729"/>
      <c r="K386" s="42"/>
      <c r="L386" s="80"/>
      <c r="M386" s="80"/>
    </row>
    <row r="387" spans="1:18" ht="30" customHeight="1">
      <c r="A387" s="12" t="str">
        <f>$A$27</f>
        <v>Lifetime Demand Savings (kW*Yrs)</v>
      </c>
      <c r="C387" s="298"/>
      <c r="D387" s="299"/>
      <c r="F387" s="304"/>
      <c r="G387" s="42"/>
      <c r="H387" s="730" t="s">
        <v>53</v>
      </c>
      <c r="I387" s="731"/>
      <c r="J387" s="307"/>
      <c r="K387" s="42"/>
      <c r="L387" s="43"/>
      <c r="M387" s="44"/>
    </row>
    <row r="388" spans="1:18" ht="30" customHeight="1">
      <c r="A388" s="1" t="str">
        <f>$A$28</f>
        <v>Lifetime Energy Savings (kWh)</v>
      </c>
      <c r="C388" s="300"/>
      <c r="D388" s="301"/>
      <c r="F388" s="305"/>
      <c r="G388" s="42"/>
      <c r="H388" s="732" t="s">
        <v>46</v>
      </c>
      <c r="I388" s="733"/>
      <c r="J388" s="308"/>
      <c r="K388" s="42"/>
      <c r="L388" s="78"/>
      <c r="M388" s="44"/>
    </row>
    <row r="389" spans="1:18" ht="30" customHeight="1" thickBot="1">
      <c r="A389" s="45" t="s">
        <v>22</v>
      </c>
      <c r="C389" s="302"/>
      <c r="D389" s="303"/>
      <c r="F389" s="306"/>
      <c r="H389" s="734" t="s">
        <v>83</v>
      </c>
      <c r="I389" s="735"/>
      <c r="J389" s="309"/>
      <c r="L389" s="79"/>
      <c r="M389" s="42"/>
    </row>
    <row r="391" spans="1:18" ht="13.5" thickBot="1">
      <c r="A391" s="227"/>
      <c r="B391" s="227"/>
      <c r="C391" s="227"/>
      <c r="D391" s="227"/>
      <c r="E391" s="227"/>
      <c r="F391" s="227"/>
      <c r="G391" s="227"/>
      <c r="H391" s="227"/>
      <c r="I391" s="227"/>
      <c r="J391" s="227"/>
      <c r="K391" s="227"/>
      <c r="L391" s="227"/>
      <c r="M391" s="227"/>
      <c r="N391" s="227"/>
      <c r="O391" s="227"/>
      <c r="P391" s="227"/>
      <c r="Q391" s="227"/>
      <c r="R391" s="227"/>
    </row>
    <row r="393" spans="1:18" ht="27.75">
      <c r="A393" s="760" t="str">
        <f>"Energy Efficiency Program Detail - "&amp;C396</f>
        <v>Energy Efficiency Program Detail - Program 13</v>
      </c>
      <c r="B393" s="761"/>
      <c r="C393" s="761"/>
      <c r="D393" s="761"/>
      <c r="E393" s="761"/>
      <c r="F393" s="761"/>
      <c r="G393" s="761"/>
      <c r="H393" s="761"/>
      <c r="I393" s="761"/>
      <c r="J393" s="761"/>
      <c r="K393" s="761"/>
      <c r="L393" s="761"/>
      <c r="M393" s="761"/>
      <c r="N393" s="761"/>
      <c r="O393" s="761"/>
      <c r="P393" s="761"/>
      <c r="Q393" s="761"/>
      <c r="R393" s="762"/>
    </row>
    <row r="394" spans="1:18">
      <c r="A394" s="17"/>
      <c r="B394" s="17"/>
      <c r="C394" s="17"/>
      <c r="D394" s="17"/>
      <c r="E394" s="17"/>
      <c r="F394" s="17"/>
      <c r="G394" s="17"/>
      <c r="H394" s="17"/>
      <c r="I394" s="17"/>
      <c r="J394" s="17"/>
      <c r="K394" s="17"/>
      <c r="L394" s="17"/>
      <c r="M394" s="17"/>
      <c r="N394" s="17"/>
      <c r="O394" s="17"/>
    </row>
    <row r="395" spans="1:18">
      <c r="A395" s="18"/>
      <c r="B395" s="18"/>
    </row>
    <row r="396" spans="1:18">
      <c r="A396" s="19" t="s">
        <v>0</v>
      </c>
      <c r="B396" s="18"/>
      <c r="C396" s="763" t="s">
        <v>209</v>
      </c>
      <c r="D396" s="764"/>
      <c r="E396" s="764"/>
      <c r="F396" s="764"/>
      <c r="G396" s="765"/>
      <c r="H396" s="3" t="s">
        <v>82</v>
      </c>
      <c r="J396" s="766"/>
      <c r="K396" s="767"/>
      <c r="L396" s="767"/>
      <c r="M396" s="767"/>
      <c r="N396" s="767"/>
      <c r="O396" s="767"/>
      <c r="P396" s="767"/>
      <c r="Q396" s="767"/>
      <c r="R396" s="768"/>
    </row>
    <row r="397" spans="1:18">
      <c r="A397" s="20" t="s">
        <v>1</v>
      </c>
      <c r="B397" s="18"/>
      <c r="C397" s="763" t="s">
        <v>54</v>
      </c>
      <c r="D397" s="764"/>
      <c r="E397" s="764"/>
      <c r="F397" s="764"/>
      <c r="G397" s="765"/>
      <c r="J397" s="769"/>
      <c r="K397" s="770"/>
      <c r="L397" s="770"/>
      <c r="M397" s="770"/>
      <c r="N397" s="770"/>
      <c r="O397" s="770"/>
      <c r="P397" s="770"/>
      <c r="Q397" s="770"/>
      <c r="R397" s="771"/>
    </row>
    <row r="398" spans="1:18">
      <c r="A398" s="20" t="s">
        <v>2</v>
      </c>
      <c r="B398" s="18"/>
      <c r="C398" s="763" t="s">
        <v>54</v>
      </c>
      <c r="D398" s="764"/>
      <c r="E398" s="764"/>
      <c r="F398" s="764"/>
      <c r="G398" s="765"/>
      <c r="J398" s="769"/>
      <c r="K398" s="770"/>
      <c r="L398" s="770"/>
      <c r="M398" s="770"/>
      <c r="N398" s="770"/>
      <c r="O398" s="770"/>
      <c r="P398" s="770"/>
      <c r="Q398" s="770"/>
      <c r="R398" s="771"/>
    </row>
    <row r="399" spans="1:18">
      <c r="A399" s="20" t="s">
        <v>3</v>
      </c>
      <c r="B399" s="18"/>
      <c r="C399" s="763">
        <v>13</v>
      </c>
      <c r="D399" s="764"/>
      <c r="E399" s="764"/>
      <c r="F399" s="764"/>
      <c r="G399" s="765"/>
      <c r="J399" s="772"/>
      <c r="K399" s="773"/>
      <c r="L399" s="773"/>
      <c r="M399" s="773"/>
      <c r="N399" s="773"/>
      <c r="O399" s="773"/>
      <c r="P399" s="773"/>
      <c r="Q399" s="773"/>
      <c r="R399" s="774"/>
    </row>
    <row r="400" spans="1:18">
      <c r="A400" s="18"/>
      <c r="B400" s="18"/>
    </row>
    <row r="401" spans="1:18" ht="13.5" thickBot="1">
      <c r="A401" s="18"/>
      <c r="B401" s="18"/>
    </row>
    <row r="402" spans="1:18" ht="15.75" customHeight="1" thickBot="1">
      <c r="A402" s="758" t="s">
        <v>4</v>
      </c>
      <c r="B402" s="3"/>
      <c r="C402" s="738" t="s">
        <v>144</v>
      </c>
      <c r="D402" s="740"/>
      <c r="E402" s="21"/>
      <c r="F402" s="738" t="s">
        <v>145</v>
      </c>
      <c r="G402" s="739"/>
      <c r="H402" s="739"/>
      <c r="I402" s="739"/>
      <c r="J402" s="740"/>
      <c r="K402" s="22"/>
      <c r="L402" s="738" t="s">
        <v>146</v>
      </c>
      <c r="M402" s="739"/>
      <c r="N402" s="739"/>
      <c r="O402" s="740"/>
      <c r="Q402" s="738" t="s">
        <v>147</v>
      </c>
      <c r="R402" s="740"/>
    </row>
    <row r="403" spans="1:18" ht="13.5" customHeight="1" thickBot="1">
      <c r="A403" s="759"/>
      <c r="B403" s="3"/>
      <c r="C403" s="753"/>
      <c r="D403" s="754"/>
      <c r="E403" s="21"/>
      <c r="F403" s="755"/>
      <c r="G403" s="756"/>
      <c r="H403" s="756"/>
      <c r="I403" s="756"/>
      <c r="J403" s="757"/>
      <c r="K403" s="22"/>
      <c r="L403" s="755"/>
      <c r="M403" s="756"/>
      <c r="N403" s="756"/>
      <c r="O403" s="757"/>
      <c r="Q403" s="753"/>
      <c r="R403" s="754"/>
    </row>
    <row r="404" spans="1:18" ht="13.5" customHeight="1" thickBot="1">
      <c r="A404" s="736" t="s">
        <v>5</v>
      </c>
      <c r="B404" s="3"/>
      <c r="C404" s="14" t="s">
        <v>6</v>
      </c>
      <c r="D404" s="14" t="s">
        <v>7</v>
      </c>
      <c r="E404" s="21"/>
      <c r="F404" s="738" t="s">
        <v>28</v>
      </c>
      <c r="G404" s="739"/>
      <c r="H404" s="739"/>
      <c r="I404" s="14" t="s">
        <v>6</v>
      </c>
      <c r="J404" s="14" t="s">
        <v>7</v>
      </c>
      <c r="K404" s="22"/>
      <c r="L404" s="738" t="s">
        <v>8</v>
      </c>
      <c r="M404" s="739"/>
      <c r="N404" s="739"/>
      <c r="O404" s="740"/>
      <c r="Q404" s="14" t="s">
        <v>6</v>
      </c>
      <c r="R404" s="14" t="s">
        <v>7</v>
      </c>
    </row>
    <row r="405" spans="1:18" ht="13.5" customHeight="1" thickBot="1">
      <c r="A405" s="737"/>
      <c r="B405" s="4"/>
      <c r="C405" s="16" t="s">
        <v>12</v>
      </c>
      <c r="D405" s="16" t="s">
        <v>12</v>
      </c>
      <c r="E405" s="23"/>
      <c r="F405" s="16" t="s">
        <v>9</v>
      </c>
      <c r="G405" s="24" t="s">
        <v>10</v>
      </c>
      <c r="H405" s="25" t="s">
        <v>11</v>
      </c>
      <c r="I405" s="16" t="s">
        <v>13</v>
      </c>
      <c r="J405" s="16" t="s">
        <v>13</v>
      </c>
      <c r="K405" s="22"/>
      <c r="L405" s="16" t="s">
        <v>9</v>
      </c>
      <c r="M405" s="24" t="s">
        <v>10</v>
      </c>
      <c r="N405" s="25" t="s">
        <v>11</v>
      </c>
      <c r="O405" s="15" t="s">
        <v>6</v>
      </c>
      <c r="Q405" s="16" t="s">
        <v>12</v>
      </c>
      <c r="R405" s="16" t="s">
        <v>12</v>
      </c>
    </row>
    <row r="406" spans="1:18" ht="30" customHeight="1">
      <c r="A406" s="26" t="s">
        <v>241</v>
      </c>
      <c r="C406" s="294"/>
      <c r="D406" s="27" t="str">
        <f>IF(ISERROR(C406/C411),"-",C406/C411)</f>
        <v>-</v>
      </c>
      <c r="E406" s="22"/>
      <c r="F406" s="294"/>
      <c r="G406" s="296"/>
      <c r="H406" s="296"/>
      <c r="I406" s="28">
        <f t="shared" ref="I406:I411" si="63">F406+G406+H406</f>
        <v>0</v>
      </c>
      <c r="J406" s="27" t="str">
        <f>IF(ISERROR(I406/I411),"-",I406/I411)</f>
        <v>-</v>
      </c>
      <c r="K406" s="22"/>
      <c r="L406" s="29" t="str">
        <f t="shared" ref="L406:L411" si="64">IF(ISERROR(F406/$C406),"-",F406/$C406)</f>
        <v>-</v>
      </c>
      <c r="M406" s="89" t="str">
        <f t="shared" ref="M406:M411" si="65">IF(ISERROR(G406/$C406),"-",G406/$C406)</f>
        <v>-</v>
      </c>
      <c r="N406" s="89" t="str">
        <f t="shared" ref="N406:N411" si="66">IF(ISERROR(H406/$C406),"-",H406/$C406)</f>
        <v>-</v>
      </c>
      <c r="O406" s="27" t="str">
        <f t="shared" ref="O406:O411" si="67">IF(ISERROR(I406/$C406),"-",I406/$C406)</f>
        <v>-</v>
      </c>
      <c r="Q406" s="294"/>
      <c r="R406" s="27" t="str">
        <f>IF(ISERROR(Q406/Q411),"-",Q406/Q411)</f>
        <v>-</v>
      </c>
    </row>
    <row r="407" spans="1:18" ht="30" customHeight="1">
      <c r="A407" s="32" t="s">
        <v>179</v>
      </c>
      <c r="C407" s="295"/>
      <c r="D407" s="30" t="str">
        <f>IF(ISERROR(C407/C411),"-",C407/C411)</f>
        <v>-</v>
      </c>
      <c r="E407" s="22"/>
      <c r="F407" s="295"/>
      <c r="G407" s="297"/>
      <c r="H407" s="297"/>
      <c r="I407" s="81">
        <f t="shared" si="63"/>
        <v>0</v>
      </c>
      <c r="J407" s="30" t="str">
        <f>IF(ISERROR(I407/I411),"-",I407/I411)</f>
        <v>-</v>
      </c>
      <c r="K407" s="22"/>
      <c r="L407" s="86" t="str">
        <f t="shared" si="64"/>
        <v>-</v>
      </c>
      <c r="M407" s="82" t="str">
        <f t="shared" si="65"/>
        <v>-</v>
      </c>
      <c r="N407" s="82" t="str">
        <f t="shared" si="66"/>
        <v>-</v>
      </c>
      <c r="O407" s="30" t="str">
        <f t="shared" si="67"/>
        <v>-</v>
      </c>
      <c r="Q407" s="295"/>
      <c r="R407" s="30" t="str">
        <f>IF(ISERROR(Q407/Q411),"-",Q407/Q411)</f>
        <v>-</v>
      </c>
    </row>
    <row r="408" spans="1:18" ht="30" customHeight="1">
      <c r="A408" s="32" t="s">
        <v>14</v>
      </c>
      <c r="C408" s="295"/>
      <c r="D408" s="30" t="str">
        <f>IF(ISERROR(C408/C411),"-",C408/C411)</f>
        <v>-</v>
      </c>
      <c r="E408" s="22"/>
      <c r="F408" s="295"/>
      <c r="G408" s="297"/>
      <c r="H408" s="297"/>
      <c r="I408" s="81">
        <f t="shared" si="63"/>
        <v>0</v>
      </c>
      <c r="J408" s="30" t="str">
        <f>IF(ISERROR(I408/I411),"-",I408/I411)</f>
        <v>-</v>
      </c>
      <c r="K408" s="22"/>
      <c r="L408" s="86" t="str">
        <f t="shared" si="64"/>
        <v>-</v>
      </c>
      <c r="M408" s="82" t="str">
        <f t="shared" si="65"/>
        <v>-</v>
      </c>
      <c r="N408" s="82" t="str">
        <f t="shared" si="66"/>
        <v>-</v>
      </c>
      <c r="O408" s="30" t="str">
        <f t="shared" si="67"/>
        <v>-</v>
      </c>
      <c r="Q408" s="295"/>
      <c r="R408" s="30" t="str">
        <f>IF(ISERROR(Q408/Q411),"-",Q408/Q411)</f>
        <v>-</v>
      </c>
    </row>
    <row r="409" spans="1:18" ht="30" customHeight="1">
      <c r="A409" s="32" t="s">
        <v>15</v>
      </c>
      <c r="C409" s="295"/>
      <c r="D409" s="30" t="str">
        <f>IF(ISERROR(C409/C411),"-",C409/C411)</f>
        <v>-</v>
      </c>
      <c r="E409" s="22"/>
      <c r="F409" s="295"/>
      <c r="G409" s="297"/>
      <c r="H409" s="297"/>
      <c r="I409" s="81">
        <f t="shared" si="63"/>
        <v>0</v>
      </c>
      <c r="J409" s="30" t="str">
        <f>IF(ISERROR(I409/I411),"-",I409/I411)</f>
        <v>-</v>
      </c>
      <c r="K409" s="22"/>
      <c r="L409" s="86" t="str">
        <f t="shared" si="64"/>
        <v>-</v>
      </c>
      <c r="M409" s="82" t="str">
        <f t="shared" si="65"/>
        <v>-</v>
      </c>
      <c r="N409" s="82" t="str">
        <f t="shared" si="66"/>
        <v>-</v>
      </c>
      <c r="O409" s="30" t="str">
        <f t="shared" si="67"/>
        <v>-</v>
      </c>
      <c r="Q409" s="295"/>
      <c r="R409" s="30" t="str">
        <f>IF(ISERROR(Q409/Q411),"-",Q409/Q411)</f>
        <v>-</v>
      </c>
    </row>
    <row r="410" spans="1:18" ht="30" customHeight="1" thickBot="1">
      <c r="A410" s="33" t="s">
        <v>17</v>
      </c>
      <c r="C410" s="295"/>
      <c r="D410" s="30" t="str">
        <f>IF(ISERROR(C410/C411),"-",C410/C411)</f>
        <v>-</v>
      </c>
      <c r="E410" s="22"/>
      <c r="F410" s="295"/>
      <c r="G410" s="297"/>
      <c r="H410" s="297"/>
      <c r="I410" s="81">
        <f t="shared" si="63"/>
        <v>0</v>
      </c>
      <c r="J410" s="30" t="str">
        <f>IF(ISERROR(I410/I411),"-",I410/I411)</f>
        <v>-</v>
      </c>
      <c r="K410" s="22"/>
      <c r="L410" s="86" t="str">
        <f t="shared" si="64"/>
        <v>-</v>
      </c>
      <c r="M410" s="82" t="str">
        <f t="shared" si="65"/>
        <v>-</v>
      </c>
      <c r="N410" s="82" t="str">
        <f t="shared" si="66"/>
        <v>-</v>
      </c>
      <c r="O410" s="30" t="str">
        <f t="shared" si="67"/>
        <v>-</v>
      </c>
      <c r="Q410" s="295"/>
      <c r="R410" s="30" t="str">
        <f>IF(ISERROR(Q410/Q411),"-",Q410/Q411)</f>
        <v>-</v>
      </c>
    </row>
    <row r="411" spans="1:18" ht="30" customHeight="1" thickBot="1">
      <c r="A411" s="34" t="s">
        <v>18</v>
      </c>
      <c r="C411" s="83">
        <f>SUM(C406:C410)</f>
        <v>0</v>
      </c>
      <c r="D411" s="84">
        <f>SUM(D406:D410)</f>
        <v>0</v>
      </c>
      <c r="E411" s="22"/>
      <c r="F411" s="83">
        <f>SUM(F406:F410)</f>
        <v>0</v>
      </c>
      <c r="G411" s="85">
        <f>SUM(G406:G410)</f>
        <v>0</v>
      </c>
      <c r="H411" s="85">
        <f>SUM(H406:H410)</f>
        <v>0</v>
      </c>
      <c r="I411" s="85">
        <f t="shared" si="63"/>
        <v>0</v>
      </c>
      <c r="J411" s="84">
        <f>SUM(J406:J410)</f>
        <v>0</v>
      </c>
      <c r="K411" s="22"/>
      <c r="L411" s="87" t="str">
        <f t="shared" si="64"/>
        <v>-</v>
      </c>
      <c r="M411" s="88" t="str">
        <f t="shared" si="65"/>
        <v>-</v>
      </c>
      <c r="N411" s="88" t="str">
        <f t="shared" si="66"/>
        <v>-</v>
      </c>
      <c r="O411" s="84" t="str">
        <f t="shared" si="67"/>
        <v>-</v>
      </c>
      <c r="Q411" s="83">
        <f>SUM(Q406:Q410)</f>
        <v>0</v>
      </c>
      <c r="R411" s="84">
        <f>SUM(R406:R410)</f>
        <v>0</v>
      </c>
    </row>
    <row r="412" spans="1:18" ht="13.5" customHeight="1"/>
    <row r="413" spans="1:18" ht="13.5" customHeight="1" thickBot="1"/>
    <row r="414" spans="1:18" ht="15.75" customHeight="1" thickBot="1">
      <c r="A414" s="741" t="s">
        <v>19</v>
      </c>
      <c r="B414" s="3"/>
      <c r="C414" s="743">
        <v>2010</v>
      </c>
      <c r="D414" s="744"/>
      <c r="E414" s="35"/>
      <c r="F414" s="36">
        <v>2011</v>
      </c>
      <c r="G414" s="37"/>
      <c r="H414" s="745" t="s">
        <v>148</v>
      </c>
      <c r="I414" s="746"/>
      <c r="J414" s="747"/>
      <c r="K414" s="37"/>
      <c r="L414" s="37"/>
      <c r="M414" s="37"/>
      <c r="N414" s="37"/>
      <c r="O414" s="37"/>
    </row>
    <row r="415" spans="1:18" ht="13.5" thickBot="1">
      <c r="A415" s="742"/>
      <c r="B415" s="3"/>
      <c r="C415" s="751"/>
      <c r="D415" s="752"/>
      <c r="F415" s="388"/>
      <c r="G415" s="74"/>
      <c r="H415" s="748"/>
      <c r="I415" s="749"/>
      <c r="J415" s="750"/>
      <c r="K415" s="75"/>
      <c r="L415" s="80"/>
      <c r="M415" s="80"/>
    </row>
    <row r="416" spans="1:18" ht="30.75" customHeight="1" thickBot="1">
      <c r="A416" s="38" t="s">
        <v>5</v>
      </c>
      <c r="B416" s="4"/>
      <c r="C416" s="39" t="s">
        <v>20</v>
      </c>
      <c r="D416" s="40" t="s">
        <v>21</v>
      </c>
      <c r="F416" s="41" t="s">
        <v>20</v>
      </c>
      <c r="G416" s="42"/>
      <c r="H416" s="727" t="s">
        <v>70</v>
      </c>
      <c r="I416" s="728"/>
      <c r="J416" s="729"/>
      <c r="K416" s="42"/>
      <c r="L416" s="80"/>
      <c r="M416" s="80"/>
    </row>
    <row r="417" spans="1:18" ht="30" customHeight="1">
      <c r="A417" s="12" t="str">
        <f>$A$27</f>
        <v>Lifetime Demand Savings (kW*Yrs)</v>
      </c>
      <c r="C417" s="298"/>
      <c r="D417" s="299"/>
      <c r="F417" s="304"/>
      <c r="G417" s="42"/>
      <c r="H417" s="730" t="s">
        <v>53</v>
      </c>
      <c r="I417" s="731"/>
      <c r="J417" s="307"/>
      <c r="K417" s="42"/>
      <c r="L417" s="43"/>
      <c r="M417" s="44"/>
    </row>
    <row r="418" spans="1:18" ht="30" customHeight="1">
      <c r="A418" s="1" t="str">
        <f>$A$28</f>
        <v>Lifetime Energy Savings (kWh)</v>
      </c>
      <c r="C418" s="300"/>
      <c r="D418" s="301"/>
      <c r="F418" s="305"/>
      <c r="G418" s="42"/>
      <c r="H418" s="732" t="s">
        <v>46</v>
      </c>
      <c r="I418" s="733"/>
      <c r="J418" s="308"/>
      <c r="K418" s="42"/>
      <c r="L418" s="78"/>
      <c r="M418" s="44"/>
    </row>
    <row r="419" spans="1:18" ht="30" customHeight="1" thickBot="1">
      <c r="A419" s="45" t="s">
        <v>22</v>
      </c>
      <c r="C419" s="302"/>
      <c r="D419" s="303"/>
      <c r="F419" s="306"/>
      <c r="H419" s="734" t="s">
        <v>83</v>
      </c>
      <c r="I419" s="735"/>
      <c r="J419" s="309"/>
      <c r="L419" s="79"/>
      <c r="M419" s="42"/>
    </row>
    <row r="421" spans="1:18" ht="13.5" thickBot="1">
      <c r="A421" s="227"/>
      <c r="B421" s="227"/>
      <c r="C421" s="227"/>
      <c r="D421" s="227"/>
      <c r="E421" s="227"/>
      <c r="F421" s="227"/>
      <c r="G421" s="227"/>
      <c r="H421" s="227"/>
      <c r="I421" s="227"/>
      <c r="J421" s="227"/>
      <c r="K421" s="227"/>
      <c r="L421" s="227"/>
      <c r="M421" s="227"/>
      <c r="N421" s="227"/>
      <c r="O421" s="227"/>
      <c r="P421" s="227"/>
      <c r="Q421" s="227"/>
      <c r="R421" s="227"/>
    </row>
    <row r="423" spans="1:18" ht="27.75">
      <c r="A423" s="760" t="str">
        <f>"Energy Efficiency Program Detail - "&amp;C426</f>
        <v>Energy Efficiency Program Detail - Program 14</v>
      </c>
      <c r="B423" s="761"/>
      <c r="C423" s="761"/>
      <c r="D423" s="761"/>
      <c r="E423" s="761"/>
      <c r="F423" s="761"/>
      <c r="G423" s="761"/>
      <c r="H423" s="761"/>
      <c r="I423" s="761"/>
      <c r="J423" s="761"/>
      <c r="K423" s="761"/>
      <c r="L423" s="761"/>
      <c r="M423" s="761"/>
      <c r="N423" s="761"/>
      <c r="O423" s="761"/>
      <c r="P423" s="761"/>
      <c r="Q423" s="761"/>
      <c r="R423" s="762"/>
    </row>
    <row r="424" spans="1:18">
      <c r="A424" s="17"/>
      <c r="B424" s="17"/>
      <c r="C424" s="17"/>
      <c r="D424" s="17"/>
      <c r="E424" s="17"/>
      <c r="F424" s="17"/>
      <c r="G424" s="17"/>
      <c r="H424" s="17"/>
      <c r="I424" s="17"/>
      <c r="J424" s="17"/>
      <c r="K424" s="17"/>
      <c r="L424" s="17"/>
      <c r="M424" s="17"/>
      <c r="N424" s="17"/>
      <c r="O424" s="17"/>
    </row>
    <row r="425" spans="1:18">
      <c r="A425" s="18"/>
      <c r="B425" s="18"/>
    </row>
    <row r="426" spans="1:18">
      <c r="A426" s="19" t="s">
        <v>0</v>
      </c>
      <c r="B426" s="18"/>
      <c r="C426" s="763" t="s">
        <v>210</v>
      </c>
      <c r="D426" s="764"/>
      <c r="E426" s="764"/>
      <c r="F426" s="764"/>
      <c r="G426" s="765"/>
      <c r="H426" s="3" t="s">
        <v>82</v>
      </c>
      <c r="J426" s="766"/>
      <c r="K426" s="767"/>
      <c r="L426" s="767"/>
      <c r="M426" s="767"/>
      <c r="N426" s="767"/>
      <c r="O426" s="767"/>
      <c r="P426" s="767"/>
      <c r="Q426" s="767"/>
      <c r="R426" s="768"/>
    </row>
    <row r="427" spans="1:18">
      <c r="A427" s="20" t="s">
        <v>1</v>
      </c>
      <c r="B427" s="18"/>
      <c r="C427" s="763" t="s">
        <v>54</v>
      </c>
      <c r="D427" s="764"/>
      <c r="E427" s="764"/>
      <c r="F427" s="764"/>
      <c r="G427" s="765"/>
      <c r="J427" s="769"/>
      <c r="K427" s="770"/>
      <c r="L427" s="770"/>
      <c r="M427" s="770"/>
      <c r="N427" s="770"/>
      <c r="O427" s="770"/>
      <c r="P427" s="770"/>
      <c r="Q427" s="770"/>
      <c r="R427" s="771"/>
    </row>
    <row r="428" spans="1:18">
      <c r="A428" s="20" t="s">
        <v>2</v>
      </c>
      <c r="B428" s="18"/>
      <c r="C428" s="763" t="s">
        <v>54</v>
      </c>
      <c r="D428" s="764"/>
      <c r="E428" s="764"/>
      <c r="F428" s="764"/>
      <c r="G428" s="765"/>
      <c r="J428" s="769"/>
      <c r="K428" s="770"/>
      <c r="L428" s="770"/>
      <c r="M428" s="770"/>
      <c r="N428" s="770"/>
      <c r="O428" s="770"/>
      <c r="P428" s="770"/>
      <c r="Q428" s="770"/>
      <c r="R428" s="771"/>
    </row>
    <row r="429" spans="1:18">
      <c r="A429" s="20" t="s">
        <v>3</v>
      </c>
      <c r="B429" s="18"/>
      <c r="C429" s="763">
        <v>14</v>
      </c>
      <c r="D429" s="764"/>
      <c r="E429" s="764"/>
      <c r="F429" s="764"/>
      <c r="G429" s="765"/>
      <c r="J429" s="772"/>
      <c r="K429" s="773"/>
      <c r="L429" s="773"/>
      <c r="M429" s="773"/>
      <c r="N429" s="773"/>
      <c r="O429" s="773"/>
      <c r="P429" s="773"/>
      <c r="Q429" s="773"/>
      <c r="R429" s="774"/>
    </row>
    <row r="430" spans="1:18">
      <c r="A430" s="18"/>
      <c r="B430" s="18"/>
    </row>
    <row r="431" spans="1:18" ht="13.5" thickBot="1">
      <c r="A431" s="18"/>
      <c r="B431" s="18"/>
    </row>
    <row r="432" spans="1:18" ht="15.75" customHeight="1" thickBot="1">
      <c r="A432" s="758" t="s">
        <v>4</v>
      </c>
      <c r="B432" s="3"/>
      <c r="C432" s="738" t="s">
        <v>144</v>
      </c>
      <c r="D432" s="740"/>
      <c r="E432" s="21"/>
      <c r="F432" s="738" t="s">
        <v>145</v>
      </c>
      <c r="G432" s="739"/>
      <c r="H432" s="739"/>
      <c r="I432" s="739"/>
      <c r="J432" s="740"/>
      <c r="K432" s="22"/>
      <c r="L432" s="738" t="s">
        <v>146</v>
      </c>
      <c r="M432" s="739"/>
      <c r="N432" s="739"/>
      <c r="O432" s="740"/>
      <c r="Q432" s="738" t="s">
        <v>147</v>
      </c>
      <c r="R432" s="740"/>
    </row>
    <row r="433" spans="1:18" ht="13.5" customHeight="1" thickBot="1">
      <c r="A433" s="759"/>
      <c r="B433" s="3"/>
      <c r="C433" s="753"/>
      <c r="D433" s="754"/>
      <c r="E433" s="21"/>
      <c r="F433" s="755"/>
      <c r="G433" s="756"/>
      <c r="H433" s="756"/>
      <c r="I433" s="756"/>
      <c r="J433" s="757"/>
      <c r="K433" s="22"/>
      <c r="L433" s="755"/>
      <c r="M433" s="756"/>
      <c r="N433" s="756"/>
      <c r="O433" s="757"/>
      <c r="Q433" s="753"/>
      <c r="R433" s="754"/>
    </row>
    <row r="434" spans="1:18" ht="13.5" customHeight="1" thickBot="1">
      <c r="A434" s="736" t="s">
        <v>5</v>
      </c>
      <c r="B434" s="3"/>
      <c r="C434" s="14" t="s">
        <v>6</v>
      </c>
      <c r="D434" s="14" t="s">
        <v>7</v>
      </c>
      <c r="E434" s="21"/>
      <c r="F434" s="738" t="s">
        <v>28</v>
      </c>
      <c r="G434" s="739"/>
      <c r="H434" s="739"/>
      <c r="I434" s="14" t="s">
        <v>6</v>
      </c>
      <c r="J434" s="14" t="s">
        <v>7</v>
      </c>
      <c r="K434" s="22"/>
      <c r="L434" s="738" t="s">
        <v>8</v>
      </c>
      <c r="M434" s="739"/>
      <c r="N434" s="739"/>
      <c r="O434" s="740"/>
      <c r="Q434" s="14" t="s">
        <v>6</v>
      </c>
      <c r="R434" s="14" t="s">
        <v>7</v>
      </c>
    </row>
    <row r="435" spans="1:18" ht="13.5" customHeight="1" thickBot="1">
      <c r="A435" s="737"/>
      <c r="B435" s="4"/>
      <c r="C435" s="16" t="s">
        <v>12</v>
      </c>
      <c r="D435" s="16" t="s">
        <v>12</v>
      </c>
      <c r="E435" s="23"/>
      <c r="F435" s="16" t="s">
        <v>9</v>
      </c>
      <c r="G435" s="24" t="s">
        <v>10</v>
      </c>
      <c r="H435" s="25" t="s">
        <v>11</v>
      </c>
      <c r="I435" s="16" t="s">
        <v>13</v>
      </c>
      <c r="J435" s="16" t="s">
        <v>13</v>
      </c>
      <c r="K435" s="22"/>
      <c r="L435" s="16" t="s">
        <v>9</v>
      </c>
      <c r="M435" s="24" t="s">
        <v>10</v>
      </c>
      <c r="N435" s="25" t="s">
        <v>11</v>
      </c>
      <c r="O435" s="15" t="s">
        <v>6</v>
      </c>
      <c r="Q435" s="16" t="s">
        <v>12</v>
      </c>
      <c r="R435" s="16" t="s">
        <v>12</v>
      </c>
    </row>
    <row r="436" spans="1:18" ht="30" customHeight="1">
      <c r="A436" s="26" t="s">
        <v>241</v>
      </c>
      <c r="C436" s="294"/>
      <c r="D436" s="27" t="str">
        <f>IF(ISERROR(C436/C441),"-",C436/C441)</f>
        <v>-</v>
      </c>
      <c r="E436" s="22"/>
      <c r="F436" s="294"/>
      <c r="G436" s="296"/>
      <c r="H436" s="296"/>
      <c r="I436" s="28">
        <f t="shared" ref="I436:I441" si="68">F436+G436+H436</f>
        <v>0</v>
      </c>
      <c r="J436" s="27" t="str">
        <f>IF(ISERROR(I436/I441),"-",I436/I441)</f>
        <v>-</v>
      </c>
      <c r="K436" s="22"/>
      <c r="L436" s="29" t="str">
        <f t="shared" ref="L436:L441" si="69">IF(ISERROR(F436/$C436),"-",F436/$C436)</f>
        <v>-</v>
      </c>
      <c r="M436" s="89" t="str">
        <f t="shared" ref="M436:M441" si="70">IF(ISERROR(G436/$C436),"-",G436/$C436)</f>
        <v>-</v>
      </c>
      <c r="N436" s="89" t="str">
        <f t="shared" ref="N436:N441" si="71">IF(ISERROR(H436/$C436),"-",H436/$C436)</f>
        <v>-</v>
      </c>
      <c r="O436" s="27" t="str">
        <f t="shared" ref="O436:O441" si="72">IF(ISERROR(I436/$C436),"-",I436/$C436)</f>
        <v>-</v>
      </c>
      <c r="Q436" s="294"/>
      <c r="R436" s="27" t="str">
        <f>IF(ISERROR(Q436/Q441),"-",Q436/Q441)</f>
        <v>-</v>
      </c>
    </row>
    <row r="437" spans="1:18" ht="30" customHeight="1">
      <c r="A437" s="32" t="s">
        <v>179</v>
      </c>
      <c r="C437" s="295"/>
      <c r="D437" s="30" t="str">
        <f>IF(ISERROR(C437/C441),"-",C437/C441)</f>
        <v>-</v>
      </c>
      <c r="E437" s="22"/>
      <c r="F437" s="295"/>
      <c r="G437" s="297"/>
      <c r="H437" s="297"/>
      <c r="I437" s="81">
        <f t="shared" si="68"/>
        <v>0</v>
      </c>
      <c r="J437" s="30" t="str">
        <f>IF(ISERROR(I437/I441),"-",I437/I441)</f>
        <v>-</v>
      </c>
      <c r="K437" s="22"/>
      <c r="L437" s="86" t="str">
        <f t="shared" si="69"/>
        <v>-</v>
      </c>
      <c r="M437" s="82" t="str">
        <f t="shared" si="70"/>
        <v>-</v>
      </c>
      <c r="N437" s="82" t="str">
        <f t="shared" si="71"/>
        <v>-</v>
      </c>
      <c r="O437" s="30" t="str">
        <f t="shared" si="72"/>
        <v>-</v>
      </c>
      <c r="Q437" s="295"/>
      <c r="R437" s="30" t="str">
        <f>IF(ISERROR(Q437/Q441),"-",Q437/Q441)</f>
        <v>-</v>
      </c>
    </row>
    <row r="438" spans="1:18" ht="30" customHeight="1">
      <c r="A438" s="32" t="s">
        <v>14</v>
      </c>
      <c r="C438" s="295"/>
      <c r="D438" s="30" t="str">
        <f>IF(ISERROR(C438/C441),"-",C438/C441)</f>
        <v>-</v>
      </c>
      <c r="E438" s="22"/>
      <c r="F438" s="295"/>
      <c r="G438" s="297"/>
      <c r="H438" s="297"/>
      <c r="I438" s="81">
        <f t="shared" si="68"/>
        <v>0</v>
      </c>
      <c r="J438" s="30" t="str">
        <f>IF(ISERROR(I438/I441),"-",I438/I441)</f>
        <v>-</v>
      </c>
      <c r="K438" s="22"/>
      <c r="L438" s="86" t="str">
        <f t="shared" si="69"/>
        <v>-</v>
      </c>
      <c r="M438" s="82" t="str">
        <f t="shared" si="70"/>
        <v>-</v>
      </c>
      <c r="N438" s="82" t="str">
        <f t="shared" si="71"/>
        <v>-</v>
      </c>
      <c r="O438" s="30" t="str">
        <f t="shared" si="72"/>
        <v>-</v>
      </c>
      <c r="Q438" s="295"/>
      <c r="R438" s="30" t="str">
        <f>IF(ISERROR(Q438/Q441),"-",Q438/Q441)</f>
        <v>-</v>
      </c>
    </row>
    <row r="439" spans="1:18" ht="30" customHeight="1">
      <c r="A439" s="32" t="s">
        <v>15</v>
      </c>
      <c r="C439" s="295"/>
      <c r="D439" s="30" t="str">
        <f>IF(ISERROR(C439/C441),"-",C439/C441)</f>
        <v>-</v>
      </c>
      <c r="E439" s="22"/>
      <c r="F439" s="295"/>
      <c r="G439" s="297"/>
      <c r="H439" s="297"/>
      <c r="I439" s="81">
        <f t="shared" si="68"/>
        <v>0</v>
      </c>
      <c r="J439" s="30" t="str">
        <f>IF(ISERROR(I439/I441),"-",I439/I441)</f>
        <v>-</v>
      </c>
      <c r="K439" s="22"/>
      <c r="L439" s="86" t="str">
        <f t="shared" si="69"/>
        <v>-</v>
      </c>
      <c r="M439" s="82" t="str">
        <f t="shared" si="70"/>
        <v>-</v>
      </c>
      <c r="N439" s="82" t="str">
        <f t="shared" si="71"/>
        <v>-</v>
      </c>
      <c r="O439" s="30" t="str">
        <f t="shared" si="72"/>
        <v>-</v>
      </c>
      <c r="Q439" s="295"/>
      <c r="R439" s="30" t="str">
        <f>IF(ISERROR(Q439/Q441),"-",Q439/Q441)</f>
        <v>-</v>
      </c>
    </row>
    <row r="440" spans="1:18" ht="30" customHeight="1" thickBot="1">
      <c r="A440" s="33" t="s">
        <v>17</v>
      </c>
      <c r="C440" s="295"/>
      <c r="D440" s="30" t="str">
        <f>IF(ISERROR(C440/C441),"-",C440/C441)</f>
        <v>-</v>
      </c>
      <c r="E440" s="22"/>
      <c r="F440" s="295"/>
      <c r="G440" s="297"/>
      <c r="H440" s="297"/>
      <c r="I440" s="81">
        <f t="shared" si="68"/>
        <v>0</v>
      </c>
      <c r="J440" s="30" t="str">
        <f>IF(ISERROR(I440/I441),"-",I440/I441)</f>
        <v>-</v>
      </c>
      <c r="K440" s="22"/>
      <c r="L440" s="86" t="str">
        <f t="shared" si="69"/>
        <v>-</v>
      </c>
      <c r="M440" s="82" t="str">
        <f t="shared" si="70"/>
        <v>-</v>
      </c>
      <c r="N440" s="82" t="str">
        <f t="shared" si="71"/>
        <v>-</v>
      </c>
      <c r="O440" s="30" t="str">
        <f t="shared" si="72"/>
        <v>-</v>
      </c>
      <c r="Q440" s="295"/>
      <c r="R440" s="30" t="str">
        <f>IF(ISERROR(Q440/Q441),"-",Q440/Q441)</f>
        <v>-</v>
      </c>
    </row>
    <row r="441" spans="1:18" ht="30" customHeight="1" thickBot="1">
      <c r="A441" s="34" t="s">
        <v>18</v>
      </c>
      <c r="C441" s="83">
        <f>SUM(C436:C440)</f>
        <v>0</v>
      </c>
      <c r="D441" s="84">
        <f>SUM(D436:D440)</f>
        <v>0</v>
      </c>
      <c r="E441" s="22"/>
      <c r="F441" s="83">
        <f>SUM(F436:F440)</f>
        <v>0</v>
      </c>
      <c r="G441" s="85">
        <f>SUM(G436:G440)</f>
        <v>0</v>
      </c>
      <c r="H441" s="85">
        <f>SUM(H436:H440)</f>
        <v>0</v>
      </c>
      <c r="I441" s="85">
        <f t="shared" si="68"/>
        <v>0</v>
      </c>
      <c r="J441" s="84">
        <f>SUM(J436:J440)</f>
        <v>0</v>
      </c>
      <c r="K441" s="22"/>
      <c r="L441" s="87" t="str">
        <f t="shared" si="69"/>
        <v>-</v>
      </c>
      <c r="M441" s="88" t="str">
        <f t="shared" si="70"/>
        <v>-</v>
      </c>
      <c r="N441" s="88" t="str">
        <f t="shared" si="71"/>
        <v>-</v>
      </c>
      <c r="O441" s="84" t="str">
        <f t="shared" si="72"/>
        <v>-</v>
      </c>
      <c r="Q441" s="83">
        <f>SUM(Q436:Q440)</f>
        <v>0</v>
      </c>
      <c r="R441" s="84">
        <f>SUM(R436:R440)</f>
        <v>0</v>
      </c>
    </row>
    <row r="442" spans="1:18" ht="13.5" customHeight="1"/>
    <row r="443" spans="1:18" ht="13.5" customHeight="1" thickBot="1"/>
    <row r="444" spans="1:18" ht="15.75" customHeight="1" thickBot="1">
      <c r="A444" s="741" t="s">
        <v>19</v>
      </c>
      <c r="B444" s="3"/>
      <c r="C444" s="743">
        <v>2010</v>
      </c>
      <c r="D444" s="744"/>
      <c r="E444" s="35"/>
      <c r="F444" s="36">
        <v>2011</v>
      </c>
      <c r="G444" s="37"/>
      <c r="H444" s="745" t="s">
        <v>148</v>
      </c>
      <c r="I444" s="746"/>
      <c r="J444" s="747"/>
      <c r="K444" s="37"/>
      <c r="L444" s="37"/>
      <c r="M444" s="37"/>
      <c r="N444" s="37"/>
      <c r="O444" s="37"/>
    </row>
    <row r="445" spans="1:18" ht="13.5" thickBot="1">
      <c r="A445" s="742"/>
      <c r="B445" s="3"/>
      <c r="C445" s="751"/>
      <c r="D445" s="752"/>
      <c r="F445" s="388"/>
      <c r="G445" s="74"/>
      <c r="H445" s="748"/>
      <c r="I445" s="749"/>
      <c r="J445" s="750"/>
      <c r="K445" s="75"/>
      <c r="L445" s="80"/>
      <c r="M445" s="80"/>
    </row>
    <row r="446" spans="1:18" ht="30.75" customHeight="1" thickBot="1">
      <c r="A446" s="38" t="s">
        <v>5</v>
      </c>
      <c r="B446" s="4"/>
      <c r="C446" s="39" t="s">
        <v>20</v>
      </c>
      <c r="D446" s="40" t="s">
        <v>21</v>
      </c>
      <c r="F446" s="41" t="s">
        <v>20</v>
      </c>
      <c r="G446" s="42"/>
      <c r="H446" s="727" t="s">
        <v>70</v>
      </c>
      <c r="I446" s="728"/>
      <c r="J446" s="729"/>
      <c r="K446" s="42"/>
      <c r="L446" s="80"/>
      <c r="M446" s="80"/>
    </row>
    <row r="447" spans="1:18" ht="30" customHeight="1">
      <c r="A447" s="12" t="str">
        <f>$A$27</f>
        <v>Lifetime Demand Savings (kW*Yrs)</v>
      </c>
      <c r="C447" s="298"/>
      <c r="D447" s="299"/>
      <c r="F447" s="304"/>
      <c r="G447" s="42"/>
      <c r="H447" s="730" t="s">
        <v>53</v>
      </c>
      <c r="I447" s="731"/>
      <c r="J447" s="307"/>
      <c r="K447" s="42"/>
      <c r="L447" s="43"/>
      <c r="M447" s="44"/>
    </row>
    <row r="448" spans="1:18" ht="30" customHeight="1">
      <c r="A448" s="1" t="str">
        <f>$A$28</f>
        <v>Lifetime Energy Savings (kWh)</v>
      </c>
      <c r="C448" s="300"/>
      <c r="D448" s="301"/>
      <c r="F448" s="305"/>
      <c r="G448" s="42"/>
      <c r="H448" s="732" t="s">
        <v>46</v>
      </c>
      <c r="I448" s="733"/>
      <c r="J448" s="308"/>
      <c r="K448" s="42"/>
      <c r="L448" s="78"/>
      <c r="M448" s="44"/>
    </row>
    <row r="449" spans="1:18" ht="30" customHeight="1" thickBot="1">
      <c r="A449" s="45" t="s">
        <v>22</v>
      </c>
      <c r="C449" s="302"/>
      <c r="D449" s="303"/>
      <c r="F449" s="306"/>
      <c r="H449" s="734" t="s">
        <v>83</v>
      </c>
      <c r="I449" s="735"/>
      <c r="J449" s="309"/>
      <c r="L449" s="79"/>
      <c r="M449" s="42"/>
    </row>
    <row r="451" spans="1:18" ht="13.5" thickBot="1">
      <c r="A451" s="227"/>
      <c r="B451" s="227"/>
      <c r="C451" s="227"/>
      <c r="D451" s="227"/>
      <c r="E451" s="227"/>
      <c r="F451" s="227"/>
      <c r="G451" s="227"/>
      <c r="H451" s="227"/>
      <c r="I451" s="227"/>
      <c r="J451" s="227"/>
      <c r="K451" s="227"/>
      <c r="L451" s="227"/>
      <c r="M451" s="227"/>
      <c r="N451" s="227"/>
      <c r="O451" s="227"/>
      <c r="P451" s="227"/>
      <c r="Q451" s="227"/>
      <c r="R451" s="227"/>
    </row>
    <row r="453" spans="1:18" ht="27.75">
      <c r="A453" s="760" t="str">
        <f>"Energy Efficiency Program Detail - "&amp;C456</f>
        <v>Energy Efficiency Program Detail - Program 15</v>
      </c>
      <c r="B453" s="761"/>
      <c r="C453" s="761"/>
      <c r="D453" s="761"/>
      <c r="E453" s="761"/>
      <c r="F453" s="761"/>
      <c r="G453" s="761"/>
      <c r="H453" s="761"/>
      <c r="I453" s="761"/>
      <c r="J453" s="761"/>
      <c r="K453" s="761"/>
      <c r="L453" s="761"/>
      <c r="M453" s="761"/>
      <c r="N453" s="761"/>
      <c r="O453" s="761"/>
      <c r="P453" s="761"/>
      <c r="Q453" s="761"/>
      <c r="R453" s="762"/>
    </row>
    <row r="454" spans="1:18">
      <c r="A454" s="17"/>
      <c r="B454" s="17"/>
      <c r="C454" s="17"/>
      <c r="D454" s="17"/>
      <c r="E454" s="17"/>
      <c r="F454" s="17"/>
      <c r="G454" s="17"/>
      <c r="H454" s="17"/>
      <c r="I454" s="17"/>
      <c r="J454" s="17"/>
      <c r="K454" s="17"/>
      <c r="L454" s="17"/>
      <c r="M454" s="17"/>
      <c r="N454" s="17"/>
      <c r="O454" s="17"/>
    </row>
    <row r="455" spans="1:18">
      <c r="A455" s="18"/>
      <c r="B455" s="18"/>
    </row>
    <row r="456" spans="1:18">
      <c r="A456" s="19" t="s">
        <v>0</v>
      </c>
      <c r="B456" s="18"/>
      <c r="C456" s="763" t="s">
        <v>211</v>
      </c>
      <c r="D456" s="764"/>
      <c r="E456" s="764"/>
      <c r="F456" s="764"/>
      <c r="G456" s="765"/>
      <c r="H456" s="3" t="s">
        <v>82</v>
      </c>
      <c r="J456" s="766"/>
      <c r="K456" s="767"/>
      <c r="L456" s="767"/>
      <c r="M456" s="767"/>
      <c r="N456" s="767"/>
      <c r="O456" s="767"/>
      <c r="P456" s="767"/>
      <c r="Q456" s="767"/>
      <c r="R456" s="768"/>
    </row>
    <row r="457" spans="1:18">
      <c r="A457" s="20" t="s">
        <v>1</v>
      </c>
      <c r="B457" s="18"/>
      <c r="C457" s="763" t="s">
        <v>54</v>
      </c>
      <c r="D457" s="764"/>
      <c r="E457" s="764"/>
      <c r="F457" s="764"/>
      <c r="G457" s="765"/>
      <c r="J457" s="769"/>
      <c r="K457" s="770"/>
      <c r="L457" s="770"/>
      <c r="M457" s="770"/>
      <c r="N457" s="770"/>
      <c r="O457" s="770"/>
      <c r="P457" s="770"/>
      <c r="Q457" s="770"/>
      <c r="R457" s="771"/>
    </row>
    <row r="458" spans="1:18">
      <c r="A458" s="20" t="s">
        <v>2</v>
      </c>
      <c r="B458" s="18"/>
      <c r="C458" s="763" t="s">
        <v>54</v>
      </c>
      <c r="D458" s="764"/>
      <c r="E458" s="764"/>
      <c r="F458" s="764"/>
      <c r="G458" s="765"/>
      <c r="J458" s="769"/>
      <c r="K458" s="770"/>
      <c r="L458" s="770"/>
      <c r="M458" s="770"/>
      <c r="N458" s="770"/>
      <c r="O458" s="770"/>
      <c r="P458" s="770"/>
      <c r="Q458" s="770"/>
      <c r="R458" s="771"/>
    </row>
    <row r="459" spans="1:18">
      <c r="A459" s="20" t="s">
        <v>3</v>
      </c>
      <c r="B459" s="18"/>
      <c r="C459" s="763">
        <v>15</v>
      </c>
      <c r="D459" s="764"/>
      <c r="E459" s="764"/>
      <c r="F459" s="764"/>
      <c r="G459" s="765"/>
      <c r="J459" s="772"/>
      <c r="K459" s="773"/>
      <c r="L459" s="773"/>
      <c r="M459" s="773"/>
      <c r="N459" s="773"/>
      <c r="O459" s="773"/>
      <c r="P459" s="773"/>
      <c r="Q459" s="773"/>
      <c r="R459" s="774"/>
    </row>
    <row r="460" spans="1:18">
      <c r="A460" s="18"/>
      <c r="B460" s="18"/>
    </row>
    <row r="461" spans="1:18" ht="13.5" thickBot="1">
      <c r="A461" s="18"/>
      <c r="B461" s="18"/>
    </row>
    <row r="462" spans="1:18" ht="15.75" customHeight="1" thickBot="1">
      <c r="A462" s="758" t="s">
        <v>4</v>
      </c>
      <c r="B462" s="3"/>
      <c r="C462" s="738" t="s">
        <v>144</v>
      </c>
      <c r="D462" s="740"/>
      <c r="E462" s="21"/>
      <c r="F462" s="738" t="s">
        <v>145</v>
      </c>
      <c r="G462" s="739"/>
      <c r="H462" s="739"/>
      <c r="I462" s="739"/>
      <c r="J462" s="740"/>
      <c r="K462" s="22"/>
      <c r="L462" s="738" t="s">
        <v>146</v>
      </c>
      <c r="M462" s="739"/>
      <c r="N462" s="739"/>
      <c r="O462" s="740"/>
      <c r="Q462" s="738" t="s">
        <v>147</v>
      </c>
      <c r="R462" s="740"/>
    </row>
    <row r="463" spans="1:18" ht="13.5" customHeight="1" thickBot="1">
      <c r="A463" s="759"/>
      <c r="B463" s="3"/>
      <c r="C463" s="753"/>
      <c r="D463" s="754"/>
      <c r="E463" s="21"/>
      <c r="F463" s="755"/>
      <c r="G463" s="756"/>
      <c r="H463" s="756"/>
      <c r="I463" s="756"/>
      <c r="J463" s="757"/>
      <c r="K463" s="22"/>
      <c r="L463" s="755"/>
      <c r="M463" s="756"/>
      <c r="N463" s="756"/>
      <c r="O463" s="757"/>
      <c r="Q463" s="753"/>
      <c r="R463" s="754"/>
    </row>
    <row r="464" spans="1:18" ht="13.5" customHeight="1" thickBot="1">
      <c r="A464" s="736" t="s">
        <v>5</v>
      </c>
      <c r="B464" s="3"/>
      <c r="C464" s="14" t="s">
        <v>6</v>
      </c>
      <c r="D464" s="14" t="s">
        <v>7</v>
      </c>
      <c r="E464" s="21"/>
      <c r="F464" s="738" t="s">
        <v>28</v>
      </c>
      <c r="G464" s="739"/>
      <c r="H464" s="739"/>
      <c r="I464" s="14" t="s">
        <v>6</v>
      </c>
      <c r="J464" s="14" t="s">
        <v>7</v>
      </c>
      <c r="K464" s="22"/>
      <c r="L464" s="738" t="s">
        <v>8</v>
      </c>
      <c r="M464" s="739"/>
      <c r="N464" s="739"/>
      <c r="O464" s="740"/>
      <c r="Q464" s="14" t="s">
        <v>6</v>
      </c>
      <c r="R464" s="14" t="s">
        <v>7</v>
      </c>
    </row>
    <row r="465" spans="1:18" ht="13.5" customHeight="1" thickBot="1">
      <c r="A465" s="737"/>
      <c r="B465" s="4"/>
      <c r="C465" s="16" t="s">
        <v>12</v>
      </c>
      <c r="D465" s="16" t="s">
        <v>12</v>
      </c>
      <c r="E465" s="23"/>
      <c r="F465" s="16" t="s">
        <v>9</v>
      </c>
      <c r="G465" s="24" t="s">
        <v>10</v>
      </c>
      <c r="H465" s="25" t="s">
        <v>11</v>
      </c>
      <c r="I465" s="16" t="s">
        <v>13</v>
      </c>
      <c r="J465" s="16" t="s">
        <v>13</v>
      </c>
      <c r="K465" s="22"/>
      <c r="L465" s="16" t="s">
        <v>9</v>
      </c>
      <c r="M465" s="24" t="s">
        <v>10</v>
      </c>
      <c r="N465" s="25" t="s">
        <v>11</v>
      </c>
      <c r="O465" s="15" t="s">
        <v>6</v>
      </c>
      <c r="Q465" s="16" t="s">
        <v>12</v>
      </c>
      <c r="R465" s="16" t="s">
        <v>12</v>
      </c>
    </row>
    <row r="466" spans="1:18" ht="30" customHeight="1">
      <c r="A466" s="26" t="s">
        <v>241</v>
      </c>
      <c r="C466" s="294"/>
      <c r="D466" s="27" t="str">
        <f>IF(ISERROR(C466/C471),"-",C466/C471)</f>
        <v>-</v>
      </c>
      <c r="E466" s="22"/>
      <c r="F466" s="294"/>
      <c r="G466" s="296"/>
      <c r="H466" s="296"/>
      <c r="I466" s="28">
        <f t="shared" ref="I466:I471" si="73">F466+G466+H466</f>
        <v>0</v>
      </c>
      <c r="J466" s="27" t="str">
        <f>IF(ISERROR(I466/I471),"-",I466/I471)</f>
        <v>-</v>
      </c>
      <c r="K466" s="22"/>
      <c r="L466" s="29" t="str">
        <f t="shared" ref="L466:L471" si="74">IF(ISERROR(F466/$C466),"-",F466/$C466)</f>
        <v>-</v>
      </c>
      <c r="M466" s="89" t="str">
        <f t="shared" ref="M466:M471" si="75">IF(ISERROR(G466/$C466),"-",G466/$C466)</f>
        <v>-</v>
      </c>
      <c r="N466" s="89" t="str">
        <f t="shared" ref="N466:N471" si="76">IF(ISERROR(H466/$C466),"-",H466/$C466)</f>
        <v>-</v>
      </c>
      <c r="O466" s="27" t="str">
        <f t="shared" ref="O466:O471" si="77">IF(ISERROR(I466/$C466),"-",I466/$C466)</f>
        <v>-</v>
      </c>
      <c r="Q466" s="294"/>
      <c r="R466" s="27" t="str">
        <f>IF(ISERROR(Q466/Q471),"-",Q466/Q471)</f>
        <v>-</v>
      </c>
    </row>
    <row r="467" spans="1:18" ht="30" customHeight="1">
      <c r="A467" s="32" t="s">
        <v>179</v>
      </c>
      <c r="C467" s="295"/>
      <c r="D467" s="30" t="str">
        <f>IF(ISERROR(C467/C471),"-",C467/C471)</f>
        <v>-</v>
      </c>
      <c r="E467" s="22"/>
      <c r="F467" s="295"/>
      <c r="G467" s="297"/>
      <c r="H467" s="297"/>
      <c r="I467" s="81">
        <f t="shared" si="73"/>
        <v>0</v>
      </c>
      <c r="J467" s="30" t="str">
        <f>IF(ISERROR(I467/I471),"-",I467/I471)</f>
        <v>-</v>
      </c>
      <c r="K467" s="22"/>
      <c r="L467" s="86" t="str">
        <f t="shared" si="74"/>
        <v>-</v>
      </c>
      <c r="M467" s="82" t="str">
        <f t="shared" si="75"/>
        <v>-</v>
      </c>
      <c r="N467" s="82" t="str">
        <f t="shared" si="76"/>
        <v>-</v>
      </c>
      <c r="O467" s="30" t="str">
        <f t="shared" si="77"/>
        <v>-</v>
      </c>
      <c r="Q467" s="295"/>
      <c r="R467" s="30" t="str">
        <f>IF(ISERROR(Q467/Q471),"-",Q467/Q471)</f>
        <v>-</v>
      </c>
    </row>
    <row r="468" spans="1:18" ht="30" customHeight="1">
      <c r="A468" s="32" t="s">
        <v>14</v>
      </c>
      <c r="C468" s="295"/>
      <c r="D468" s="30" t="str">
        <f>IF(ISERROR(C468/C471),"-",C468/C471)</f>
        <v>-</v>
      </c>
      <c r="E468" s="22"/>
      <c r="F468" s="295"/>
      <c r="G468" s="297"/>
      <c r="H468" s="297"/>
      <c r="I468" s="81">
        <f t="shared" si="73"/>
        <v>0</v>
      </c>
      <c r="J468" s="30" t="str">
        <f>IF(ISERROR(I468/I471),"-",I468/I471)</f>
        <v>-</v>
      </c>
      <c r="K468" s="22"/>
      <c r="L468" s="86" t="str">
        <f t="shared" si="74"/>
        <v>-</v>
      </c>
      <c r="M468" s="82" t="str">
        <f t="shared" si="75"/>
        <v>-</v>
      </c>
      <c r="N468" s="82" t="str">
        <f t="shared" si="76"/>
        <v>-</v>
      </c>
      <c r="O468" s="30" t="str">
        <f t="shared" si="77"/>
        <v>-</v>
      </c>
      <c r="Q468" s="295"/>
      <c r="R468" s="30" t="str">
        <f>IF(ISERROR(Q468/Q471),"-",Q468/Q471)</f>
        <v>-</v>
      </c>
    </row>
    <row r="469" spans="1:18" ht="30" customHeight="1">
      <c r="A469" s="32" t="s">
        <v>15</v>
      </c>
      <c r="C469" s="295"/>
      <c r="D469" s="30" t="str">
        <f>IF(ISERROR(C469/C471),"-",C469/C471)</f>
        <v>-</v>
      </c>
      <c r="E469" s="22"/>
      <c r="F469" s="295"/>
      <c r="G469" s="297"/>
      <c r="H469" s="297"/>
      <c r="I469" s="81">
        <f t="shared" si="73"/>
        <v>0</v>
      </c>
      <c r="J469" s="30" t="str">
        <f>IF(ISERROR(I469/I471),"-",I469/I471)</f>
        <v>-</v>
      </c>
      <c r="K469" s="22"/>
      <c r="L469" s="86" t="str">
        <f t="shared" si="74"/>
        <v>-</v>
      </c>
      <c r="M469" s="82" t="str">
        <f t="shared" si="75"/>
        <v>-</v>
      </c>
      <c r="N469" s="82" t="str">
        <f t="shared" si="76"/>
        <v>-</v>
      </c>
      <c r="O469" s="30" t="str">
        <f t="shared" si="77"/>
        <v>-</v>
      </c>
      <c r="Q469" s="295"/>
      <c r="R469" s="30" t="str">
        <f>IF(ISERROR(Q469/Q471),"-",Q469/Q471)</f>
        <v>-</v>
      </c>
    </row>
    <row r="470" spans="1:18" ht="30" customHeight="1" thickBot="1">
      <c r="A470" s="33" t="s">
        <v>17</v>
      </c>
      <c r="C470" s="295"/>
      <c r="D470" s="30" t="str">
        <f>IF(ISERROR(C470/C471),"-",C470/C471)</f>
        <v>-</v>
      </c>
      <c r="E470" s="22"/>
      <c r="F470" s="295"/>
      <c r="G470" s="297"/>
      <c r="H470" s="297"/>
      <c r="I470" s="81">
        <f t="shared" si="73"/>
        <v>0</v>
      </c>
      <c r="J470" s="30" t="str">
        <f>IF(ISERROR(I470/I471),"-",I470/I471)</f>
        <v>-</v>
      </c>
      <c r="K470" s="22"/>
      <c r="L470" s="86" t="str">
        <f t="shared" si="74"/>
        <v>-</v>
      </c>
      <c r="M470" s="82" t="str">
        <f t="shared" si="75"/>
        <v>-</v>
      </c>
      <c r="N470" s="82" t="str">
        <f t="shared" si="76"/>
        <v>-</v>
      </c>
      <c r="O470" s="30" t="str">
        <f t="shared" si="77"/>
        <v>-</v>
      </c>
      <c r="Q470" s="295"/>
      <c r="R470" s="30" t="str">
        <f>IF(ISERROR(Q470/Q471),"-",Q470/Q471)</f>
        <v>-</v>
      </c>
    </row>
    <row r="471" spans="1:18" ht="30" customHeight="1" thickBot="1">
      <c r="A471" s="34" t="s">
        <v>18</v>
      </c>
      <c r="C471" s="83">
        <f>SUM(C466:C470)</f>
        <v>0</v>
      </c>
      <c r="D471" s="84">
        <f>SUM(D466:D470)</f>
        <v>0</v>
      </c>
      <c r="E471" s="22"/>
      <c r="F471" s="83">
        <f>SUM(F466:F470)</f>
        <v>0</v>
      </c>
      <c r="G471" s="85">
        <f>SUM(G466:G470)</f>
        <v>0</v>
      </c>
      <c r="H471" s="85">
        <f>SUM(H466:H470)</f>
        <v>0</v>
      </c>
      <c r="I471" s="85">
        <f t="shared" si="73"/>
        <v>0</v>
      </c>
      <c r="J471" s="84">
        <f>SUM(J466:J470)</f>
        <v>0</v>
      </c>
      <c r="K471" s="22"/>
      <c r="L471" s="87" t="str">
        <f t="shared" si="74"/>
        <v>-</v>
      </c>
      <c r="M471" s="88" t="str">
        <f t="shared" si="75"/>
        <v>-</v>
      </c>
      <c r="N471" s="88" t="str">
        <f t="shared" si="76"/>
        <v>-</v>
      </c>
      <c r="O471" s="84" t="str">
        <f t="shared" si="77"/>
        <v>-</v>
      </c>
      <c r="Q471" s="83">
        <f>SUM(Q466:Q470)</f>
        <v>0</v>
      </c>
      <c r="R471" s="84">
        <f>SUM(R466:R470)</f>
        <v>0</v>
      </c>
    </row>
    <row r="472" spans="1:18" ht="13.5" customHeight="1"/>
    <row r="473" spans="1:18" ht="13.5" customHeight="1" thickBot="1"/>
    <row r="474" spans="1:18" ht="15.75" customHeight="1" thickBot="1">
      <c r="A474" s="741" t="s">
        <v>19</v>
      </c>
      <c r="B474" s="3"/>
      <c r="C474" s="743">
        <v>2010</v>
      </c>
      <c r="D474" s="744"/>
      <c r="E474" s="35"/>
      <c r="F474" s="36">
        <v>2011</v>
      </c>
      <c r="G474" s="37"/>
      <c r="H474" s="745" t="s">
        <v>148</v>
      </c>
      <c r="I474" s="746"/>
      <c r="J474" s="747"/>
      <c r="K474" s="37"/>
      <c r="L474" s="37"/>
      <c r="M474" s="37"/>
      <c r="N474" s="37"/>
      <c r="O474" s="37"/>
    </row>
    <row r="475" spans="1:18" ht="13.5" thickBot="1">
      <c r="A475" s="742"/>
      <c r="B475" s="3"/>
      <c r="C475" s="751"/>
      <c r="D475" s="752"/>
      <c r="F475" s="388"/>
      <c r="G475" s="74"/>
      <c r="H475" s="748"/>
      <c r="I475" s="749"/>
      <c r="J475" s="750"/>
      <c r="K475" s="75"/>
      <c r="L475" s="80"/>
      <c r="M475" s="80"/>
    </row>
    <row r="476" spans="1:18" ht="30.75" customHeight="1" thickBot="1">
      <c r="A476" s="38" t="s">
        <v>5</v>
      </c>
      <c r="B476" s="4"/>
      <c r="C476" s="39" t="s">
        <v>20</v>
      </c>
      <c r="D476" s="40" t="s">
        <v>21</v>
      </c>
      <c r="F476" s="41" t="s">
        <v>20</v>
      </c>
      <c r="G476" s="42"/>
      <c r="H476" s="727" t="s">
        <v>70</v>
      </c>
      <c r="I476" s="728"/>
      <c r="J476" s="729"/>
      <c r="K476" s="42"/>
      <c r="L476" s="80"/>
      <c r="M476" s="80"/>
    </row>
    <row r="477" spans="1:18" ht="30" customHeight="1">
      <c r="A477" s="12" t="str">
        <f>$A$27</f>
        <v>Lifetime Demand Savings (kW*Yrs)</v>
      </c>
      <c r="C477" s="298"/>
      <c r="D477" s="299"/>
      <c r="F477" s="304"/>
      <c r="G477" s="42"/>
      <c r="H477" s="730" t="s">
        <v>53</v>
      </c>
      <c r="I477" s="731"/>
      <c r="J477" s="307"/>
      <c r="K477" s="42"/>
      <c r="L477" s="43"/>
      <c r="M477" s="44"/>
    </row>
    <row r="478" spans="1:18" ht="30" customHeight="1">
      <c r="A478" s="1" t="str">
        <f>$A$28</f>
        <v>Lifetime Energy Savings (kWh)</v>
      </c>
      <c r="C478" s="300"/>
      <c r="D478" s="301"/>
      <c r="F478" s="305"/>
      <c r="G478" s="42"/>
      <c r="H478" s="732" t="s">
        <v>46</v>
      </c>
      <c r="I478" s="733"/>
      <c r="J478" s="308"/>
      <c r="K478" s="42"/>
      <c r="L478" s="78"/>
      <c r="M478" s="44"/>
    </row>
    <row r="479" spans="1:18" ht="30" customHeight="1" thickBot="1">
      <c r="A479" s="45" t="s">
        <v>22</v>
      </c>
      <c r="C479" s="302"/>
      <c r="D479" s="303"/>
      <c r="F479" s="306"/>
      <c r="H479" s="734" t="s">
        <v>83</v>
      </c>
      <c r="I479" s="735"/>
      <c r="J479" s="309"/>
      <c r="L479" s="79"/>
      <c r="M479" s="42"/>
    </row>
  </sheetData>
  <mergeCells count="418">
    <mergeCell ref="H28:I28"/>
    <mergeCell ref="H29:I29"/>
    <mergeCell ref="H24:J25"/>
    <mergeCell ref="H26:J26"/>
    <mergeCell ref="L13:O13"/>
    <mergeCell ref="C3:G3"/>
    <mergeCell ref="C4:G4"/>
    <mergeCell ref="C5:G5"/>
    <mergeCell ref="C6:G6"/>
    <mergeCell ref="C24:D24"/>
    <mergeCell ref="A33:R33"/>
    <mergeCell ref="C36:G36"/>
    <mergeCell ref="C37:G37"/>
    <mergeCell ref="J36:R39"/>
    <mergeCell ref="C38:G38"/>
    <mergeCell ref="C39:G39"/>
    <mergeCell ref="A1:R1"/>
    <mergeCell ref="C12:D12"/>
    <mergeCell ref="F12:J12"/>
    <mergeCell ref="L12:O12"/>
    <mergeCell ref="A11:A12"/>
    <mergeCell ref="C11:D11"/>
    <mergeCell ref="F11:J11"/>
    <mergeCell ref="Q11:R11"/>
    <mergeCell ref="Q12:R12"/>
    <mergeCell ref="L11:O11"/>
    <mergeCell ref="H27:I27"/>
    <mergeCell ref="C25:D25"/>
    <mergeCell ref="A24:A25"/>
    <mergeCell ref="C7:G7"/>
    <mergeCell ref="C8:G8"/>
    <mergeCell ref="C9:G9"/>
    <mergeCell ref="A13:A14"/>
    <mergeCell ref="F13:H13"/>
    <mergeCell ref="A44:A45"/>
    <mergeCell ref="F44:H44"/>
    <mergeCell ref="L44:O44"/>
    <mergeCell ref="A54:A55"/>
    <mergeCell ref="C54:D54"/>
    <mergeCell ref="H54:J55"/>
    <mergeCell ref="C55:D55"/>
    <mergeCell ref="Q42:R42"/>
    <mergeCell ref="C43:D43"/>
    <mergeCell ref="F43:J43"/>
    <mergeCell ref="L43:O43"/>
    <mergeCell ref="Q43:R43"/>
    <mergeCell ref="A42:A43"/>
    <mergeCell ref="C42:D42"/>
    <mergeCell ref="F42:J42"/>
    <mergeCell ref="L42:O42"/>
    <mergeCell ref="A63:R63"/>
    <mergeCell ref="C66:G66"/>
    <mergeCell ref="C67:G67"/>
    <mergeCell ref="J66:R69"/>
    <mergeCell ref="C68:G68"/>
    <mergeCell ref="C69:G69"/>
    <mergeCell ref="H56:J56"/>
    <mergeCell ref="H57:I57"/>
    <mergeCell ref="H58:I58"/>
    <mergeCell ref="H59:I59"/>
    <mergeCell ref="A74:A75"/>
    <mergeCell ref="F74:H74"/>
    <mergeCell ref="L74:O74"/>
    <mergeCell ref="A84:A85"/>
    <mergeCell ref="C84:D84"/>
    <mergeCell ref="H84:J85"/>
    <mergeCell ref="C85:D85"/>
    <mergeCell ref="Q72:R72"/>
    <mergeCell ref="C73:D73"/>
    <mergeCell ref="F73:J73"/>
    <mergeCell ref="L73:O73"/>
    <mergeCell ref="Q73:R73"/>
    <mergeCell ref="A72:A73"/>
    <mergeCell ref="C72:D72"/>
    <mergeCell ref="F72:J72"/>
    <mergeCell ref="L72:O72"/>
    <mergeCell ref="A93:R93"/>
    <mergeCell ref="C96:G96"/>
    <mergeCell ref="C97:G97"/>
    <mergeCell ref="J96:R99"/>
    <mergeCell ref="C98:G98"/>
    <mergeCell ref="C99:G99"/>
    <mergeCell ref="H86:J86"/>
    <mergeCell ref="H87:I87"/>
    <mergeCell ref="H88:I88"/>
    <mergeCell ref="H89:I89"/>
    <mergeCell ref="A104:A105"/>
    <mergeCell ref="F104:H104"/>
    <mergeCell ref="L104:O104"/>
    <mergeCell ref="A114:A115"/>
    <mergeCell ref="C114:D114"/>
    <mergeCell ref="H114:J115"/>
    <mergeCell ref="C115:D115"/>
    <mergeCell ref="Q102:R102"/>
    <mergeCell ref="C103:D103"/>
    <mergeCell ref="F103:J103"/>
    <mergeCell ref="L103:O103"/>
    <mergeCell ref="Q103:R103"/>
    <mergeCell ref="A102:A103"/>
    <mergeCell ref="C102:D102"/>
    <mergeCell ref="F102:J102"/>
    <mergeCell ref="L102:O102"/>
    <mergeCell ref="A123:R123"/>
    <mergeCell ref="C126:G126"/>
    <mergeCell ref="C127:G127"/>
    <mergeCell ref="J126:R129"/>
    <mergeCell ref="C128:G128"/>
    <mergeCell ref="C129:G129"/>
    <mergeCell ref="H116:J116"/>
    <mergeCell ref="H117:I117"/>
    <mergeCell ref="H118:I118"/>
    <mergeCell ref="H119:I119"/>
    <mergeCell ref="A134:A135"/>
    <mergeCell ref="F134:H134"/>
    <mergeCell ref="L134:O134"/>
    <mergeCell ref="A144:A145"/>
    <mergeCell ref="C144:D144"/>
    <mergeCell ref="H144:J145"/>
    <mergeCell ref="C145:D145"/>
    <mergeCell ref="Q132:R132"/>
    <mergeCell ref="C133:D133"/>
    <mergeCell ref="F133:J133"/>
    <mergeCell ref="L133:O133"/>
    <mergeCell ref="Q133:R133"/>
    <mergeCell ref="A132:A133"/>
    <mergeCell ref="C132:D132"/>
    <mergeCell ref="F132:J132"/>
    <mergeCell ref="L132:O132"/>
    <mergeCell ref="A153:R153"/>
    <mergeCell ref="C156:G156"/>
    <mergeCell ref="C157:G157"/>
    <mergeCell ref="J156:R159"/>
    <mergeCell ref="C158:G158"/>
    <mergeCell ref="C159:G159"/>
    <mergeCell ref="H146:J146"/>
    <mergeCell ref="H147:I147"/>
    <mergeCell ref="H148:I148"/>
    <mergeCell ref="H149:I149"/>
    <mergeCell ref="A164:A165"/>
    <mergeCell ref="F164:H164"/>
    <mergeCell ref="L164:O164"/>
    <mergeCell ref="A174:A175"/>
    <mergeCell ref="C174:D174"/>
    <mergeCell ref="H174:J175"/>
    <mergeCell ref="C175:D175"/>
    <mergeCell ref="Q162:R162"/>
    <mergeCell ref="C163:D163"/>
    <mergeCell ref="F163:J163"/>
    <mergeCell ref="L163:O163"/>
    <mergeCell ref="Q163:R163"/>
    <mergeCell ref="A162:A163"/>
    <mergeCell ref="C162:D162"/>
    <mergeCell ref="F162:J162"/>
    <mergeCell ref="L162:O162"/>
    <mergeCell ref="A183:R183"/>
    <mergeCell ref="C186:G186"/>
    <mergeCell ref="C187:G187"/>
    <mergeCell ref="J186:R189"/>
    <mergeCell ref="C188:G188"/>
    <mergeCell ref="C189:G189"/>
    <mergeCell ref="H176:J176"/>
    <mergeCell ref="H177:I177"/>
    <mergeCell ref="H178:I178"/>
    <mergeCell ref="H179:I179"/>
    <mergeCell ref="A194:A195"/>
    <mergeCell ref="F194:H194"/>
    <mergeCell ref="L194:O194"/>
    <mergeCell ref="A204:A205"/>
    <mergeCell ref="C204:D204"/>
    <mergeCell ref="H204:J205"/>
    <mergeCell ref="C205:D205"/>
    <mergeCell ref="Q192:R192"/>
    <mergeCell ref="C193:D193"/>
    <mergeCell ref="F193:J193"/>
    <mergeCell ref="L193:O193"/>
    <mergeCell ref="Q193:R193"/>
    <mergeCell ref="A192:A193"/>
    <mergeCell ref="C192:D192"/>
    <mergeCell ref="F192:J192"/>
    <mergeCell ref="L192:O192"/>
    <mergeCell ref="A213:R213"/>
    <mergeCell ref="C216:G216"/>
    <mergeCell ref="C217:G217"/>
    <mergeCell ref="J216:R219"/>
    <mergeCell ref="C218:G218"/>
    <mergeCell ref="C219:G219"/>
    <mergeCell ref="H206:J206"/>
    <mergeCell ref="H207:I207"/>
    <mergeCell ref="H208:I208"/>
    <mergeCell ref="H209:I209"/>
    <mergeCell ref="A224:A225"/>
    <mergeCell ref="F224:H224"/>
    <mergeCell ref="L224:O224"/>
    <mergeCell ref="A234:A235"/>
    <mergeCell ref="C234:D234"/>
    <mergeCell ref="H234:J235"/>
    <mergeCell ref="C235:D235"/>
    <mergeCell ref="Q222:R222"/>
    <mergeCell ref="C223:D223"/>
    <mergeCell ref="F223:J223"/>
    <mergeCell ref="L223:O223"/>
    <mergeCell ref="Q223:R223"/>
    <mergeCell ref="A222:A223"/>
    <mergeCell ref="C222:D222"/>
    <mergeCell ref="F222:J222"/>
    <mergeCell ref="L222:O222"/>
    <mergeCell ref="A243:R243"/>
    <mergeCell ref="C246:G246"/>
    <mergeCell ref="J246:R249"/>
    <mergeCell ref="C247:G247"/>
    <mergeCell ref="C248:G248"/>
    <mergeCell ref="C249:G249"/>
    <mergeCell ref="H236:J236"/>
    <mergeCell ref="H237:I237"/>
    <mergeCell ref="H238:I238"/>
    <mergeCell ref="H239:I239"/>
    <mergeCell ref="A254:A255"/>
    <mergeCell ref="F254:H254"/>
    <mergeCell ref="L254:O254"/>
    <mergeCell ref="A264:A265"/>
    <mergeCell ref="C264:D264"/>
    <mergeCell ref="H264:J265"/>
    <mergeCell ref="C265:D265"/>
    <mergeCell ref="Q252:R252"/>
    <mergeCell ref="C253:D253"/>
    <mergeCell ref="F253:J253"/>
    <mergeCell ref="L253:O253"/>
    <mergeCell ref="Q253:R253"/>
    <mergeCell ref="A252:A253"/>
    <mergeCell ref="C252:D252"/>
    <mergeCell ref="F252:J252"/>
    <mergeCell ref="L252:O252"/>
    <mergeCell ref="A273:R273"/>
    <mergeCell ref="C276:G276"/>
    <mergeCell ref="J276:R279"/>
    <mergeCell ref="C277:G277"/>
    <mergeCell ref="C278:G278"/>
    <mergeCell ref="C279:G279"/>
    <mergeCell ref="H266:J266"/>
    <mergeCell ref="H267:I267"/>
    <mergeCell ref="H268:I268"/>
    <mergeCell ref="H269:I269"/>
    <mergeCell ref="A284:A285"/>
    <mergeCell ref="F284:H284"/>
    <mergeCell ref="L284:O284"/>
    <mergeCell ref="A294:A295"/>
    <mergeCell ref="C294:D294"/>
    <mergeCell ref="H294:J295"/>
    <mergeCell ref="C295:D295"/>
    <mergeCell ref="Q282:R282"/>
    <mergeCell ref="C283:D283"/>
    <mergeCell ref="F283:J283"/>
    <mergeCell ref="L283:O283"/>
    <mergeCell ref="Q283:R283"/>
    <mergeCell ref="A282:A283"/>
    <mergeCell ref="C282:D282"/>
    <mergeCell ref="F282:J282"/>
    <mergeCell ref="L282:O282"/>
    <mergeCell ref="A303:R303"/>
    <mergeCell ref="C306:G306"/>
    <mergeCell ref="J306:R309"/>
    <mergeCell ref="C307:G307"/>
    <mergeCell ref="C308:G308"/>
    <mergeCell ref="C309:G309"/>
    <mergeCell ref="H296:J296"/>
    <mergeCell ref="H297:I297"/>
    <mergeCell ref="H298:I298"/>
    <mergeCell ref="H299:I299"/>
    <mergeCell ref="A314:A315"/>
    <mergeCell ref="F314:H314"/>
    <mergeCell ref="L314:O314"/>
    <mergeCell ref="A324:A325"/>
    <mergeCell ref="C324:D324"/>
    <mergeCell ref="H324:J325"/>
    <mergeCell ref="C325:D325"/>
    <mergeCell ref="Q312:R312"/>
    <mergeCell ref="C313:D313"/>
    <mergeCell ref="F313:J313"/>
    <mergeCell ref="L313:O313"/>
    <mergeCell ref="Q313:R313"/>
    <mergeCell ref="A312:A313"/>
    <mergeCell ref="C312:D312"/>
    <mergeCell ref="F312:J312"/>
    <mergeCell ref="L312:O312"/>
    <mergeCell ref="A333:R333"/>
    <mergeCell ref="C336:G336"/>
    <mergeCell ref="J336:R339"/>
    <mergeCell ref="C337:G337"/>
    <mergeCell ref="C338:G338"/>
    <mergeCell ref="C339:G339"/>
    <mergeCell ref="H326:J326"/>
    <mergeCell ref="H327:I327"/>
    <mergeCell ref="H328:I328"/>
    <mergeCell ref="H329:I329"/>
    <mergeCell ref="A344:A345"/>
    <mergeCell ref="F344:H344"/>
    <mergeCell ref="L344:O344"/>
    <mergeCell ref="A354:A355"/>
    <mergeCell ref="C354:D354"/>
    <mergeCell ref="H354:J355"/>
    <mergeCell ref="C355:D355"/>
    <mergeCell ref="Q342:R342"/>
    <mergeCell ref="C343:D343"/>
    <mergeCell ref="F343:J343"/>
    <mergeCell ref="L343:O343"/>
    <mergeCell ref="Q343:R343"/>
    <mergeCell ref="A342:A343"/>
    <mergeCell ref="C342:D342"/>
    <mergeCell ref="F342:J342"/>
    <mergeCell ref="L342:O342"/>
    <mergeCell ref="A363:R363"/>
    <mergeCell ref="C366:G366"/>
    <mergeCell ref="J366:R369"/>
    <mergeCell ref="C367:G367"/>
    <mergeCell ref="C368:G368"/>
    <mergeCell ref="C369:G369"/>
    <mergeCell ref="H356:J356"/>
    <mergeCell ref="H357:I357"/>
    <mergeCell ref="H358:I358"/>
    <mergeCell ref="H359:I359"/>
    <mergeCell ref="A374:A375"/>
    <mergeCell ref="F374:H374"/>
    <mergeCell ref="L374:O374"/>
    <mergeCell ref="A384:A385"/>
    <mergeCell ref="C384:D384"/>
    <mergeCell ref="H384:J385"/>
    <mergeCell ref="C385:D385"/>
    <mergeCell ref="Q372:R372"/>
    <mergeCell ref="C373:D373"/>
    <mergeCell ref="F373:J373"/>
    <mergeCell ref="L373:O373"/>
    <mergeCell ref="Q373:R373"/>
    <mergeCell ref="A372:A373"/>
    <mergeCell ref="C372:D372"/>
    <mergeCell ref="F372:J372"/>
    <mergeCell ref="L372:O372"/>
    <mergeCell ref="A393:R393"/>
    <mergeCell ref="C396:G396"/>
    <mergeCell ref="J396:R399"/>
    <mergeCell ref="C397:G397"/>
    <mergeCell ref="C398:G398"/>
    <mergeCell ref="C399:G399"/>
    <mergeCell ref="H386:J386"/>
    <mergeCell ref="H387:I387"/>
    <mergeCell ref="H388:I388"/>
    <mergeCell ref="H389:I389"/>
    <mergeCell ref="A404:A405"/>
    <mergeCell ref="F404:H404"/>
    <mergeCell ref="L404:O404"/>
    <mergeCell ref="A414:A415"/>
    <mergeCell ref="C414:D414"/>
    <mergeCell ref="H414:J415"/>
    <mergeCell ref="C415:D415"/>
    <mergeCell ref="Q402:R402"/>
    <mergeCell ref="C403:D403"/>
    <mergeCell ref="F403:J403"/>
    <mergeCell ref="L403:O403"/>
    <mergeCell ref="Q403:R403"/>
    <mergeCell ref="A402:A403"/>
    <mergeCell ref="C402:D402"/>
    <mergeCell ref="F402:J402"/>
    <mergeCell ref="L402:O402"/>
    <mergeCell ref="A423:R423"/>
    <mergeCell ref="C426:G426"/>
    <mergeCell ref="J426:R429"/>
    <mergeCell ref="C427:G427"/>
    <mergeCell ref="C428:G428"/>
    <mergeCell ref="C429:G429"/>
    <mergeCell ref="H416:J416"/>
    <mergeCell ref="H417:I417"/>
    <mergeCell ref="H418:I418"/>
    <mergeCell ref="H419:I419"/>
    <mergeCell ref="A434:A435"/>
    <mergeCell ref="F434:H434"/>
    <mergeCell ref="L434:O434"/>
    <mergeCell ref="A444:A445"/>
    <mergeCell ref="C444:D444"/>
    <mergeCell ref="H444:J445"/>
    <mergeCell ref="C445:D445"/>
    <mergeCell ref="Q432:R432"/>
    <mergeCell ref="C433:D433"/>
    <mergeCell ref="F433:J433"/>
    <mergeCell ref="L433:O433"/>
    <mergeCell ref="Q433:R433"/>
    <mergeCell ref="A432:A433"/>
    <mergeCell ref="C432:D432"/>
    <mergeCell ref="F432:J432"/>
    <mergeCell ref="L432:O432"/>
    <mergeCell ref="A453:R453"/>
    <mergeCell ref="C456:G456"/>
    <mergeCell ref="J456:R459"/>
    <mergeCell ref="C457:G457"/>
    <mergeCell ref="C458:G458"/>
    <mergeCell ref="C459:G459"/>
    <mergeCell ref="H446:J446"/>
    <mergeCell ref="H447:I447"/>
    <mergeCell ref="H448:I448"/>
    <mergeCell ref="H449:I449"/>
    <mergeCell ref="Q462:R462"/>
    <mergeCell ref="C463:D463"/>
    <mergeCell ref="F463:J463"/>
    <mergeCell ref="L463:O463"/>
    <mergeCell ref="Q463:R463"/>
    <mergeCell ref="A462:A463"/>
    <mergeCell ref="C462:D462"/>
    <mergeCell ref="F462:J462"/>
    <mergeCell ref="L462:O462"/>
    <mergeCell ref="H476:J476"/>
    <mergeCell ref="H477:I477"/>
    <mergeCell ref="H478:I478"/>
    <mergeCell ref="H479:I479"/>
    <mergeCell ref="A464:A465"/>
    <mergeCell ref="F464:H464"/>
    <mergeCell ref="L464:O464"/>
    <mergeCell ref="A474:A475"/>
    <mergeCell ref="C474:D474"/>
    <mergeCell ref="H474:J475"/>
    <mergeCell ref="C475:D475"/>
  </mergeCells>
  <phoneticPr fontId="0" type="noConversion"/>
  <dataValidations disablePrompts="1" count="3">
    <dataValidation type="list" allowBlank="1" showInputMessage="1" showErrorMessage="1" sqref="C457:G457 C397 C337 C277 C217:G217 C157:G157 C97:G97 C37:G37 C67:G67 C127:G127 C187:G187 C247 C307 C367 C427:G427">
      <formula1>Prg_Type</formula1>
    </dataValidation>
    <dataValidation type="list" allowBlank="1" showInputMessage="1" showErrorMessage="1" sqref="C458:G458 C398 C338 C278 C218:G218 C158:G158 C98:G98 C38:G38 C68:G68 C128:G128 C188:G188 C248 C308 C368 C428:G428">
      <formula1>Mrkt_Type</formula1>
    </dataValidation>
    <dataValidation type="list" allowBlank="1" showInputMessage="1" showErrorMessage="1" sqref="I4">
      <formula1>Utility_Type</formula1>
    </dataValidation>
  </dataValidations>
  <pageMargins left="0.75" right="0.75" top="0.75" bottom="0.75" header="0.5" footer="0.5"/>
  <pageSetup scale="65" fitToHeight="8" orientation="landscape" r:id="rId1"/>
  <headerFooter alignWithMargins="0">
    <oddFooter>&amp;L&amp;A&amp;C&amp;P of &amp;N&amp;R&amp;D</oddFooter>
  </headerFooter>
  <rowBreaks count="15" manualBreakCount="15">
    <brk id="31" max="16383" man="1"/>
    <brk id="61" max="16383" man="1"/>
    <brk id="91" max="16383" man="1"/>
    <brk id="121" max="16383" man="1"/>
    <brk id="151" max="16383" man="1"/>
    <brk id="181" max="16383" man="1"/>
    <brk id="211" max="16383" man="1"/>
    <brk id="241" max="16383" man="1"/>
    <brk id="271" max="16383" man="1"/>
    <brk id="301" max="16383" man="1"/>
    <brk id="331" max="16383" man="1"/>
    <brk id="361" max="16383" man="1"/>
    <brk id="391" max="16383" man="1"/>
    <brk id="421" max="16383" man="1"/>
    <brk id="45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44"/>
    <pageSetUpPr fitToPage="1"/>
  </sheetPr>
  <dimension ref="A1:N92"/>
  <sheetViews>
    <sheetView topLeftCell="A31" zoomScale="120" zoomScaleNormal="120" workbookViewId="0">
      <selection activeCell="C9" sqref="C9"/>
    </sheetView>
  </sheetViews>
  <sheetFormatPr defaultRowHeight="13.5" customHeight="1"/>
  <cols>
    <col min="1" max="1" width="32.85546875" style="13" bestFit="1" customWidth="1"/>
    <col min="2" max="2" width="1.7109375" style="13" customWidth="1"/>
    <col min="3" max="11" width="12.7109375" style="13" customWidth="1"/>
    <col min="12" max="12" width="9.140625" style="13"/>
    <col min="13" max="14" width="9.140625" style="13" hidden="1" customWidth="1"/>
    <col min="15" max="16384" width="9.140625" style="13"/>
  </cols>
  <sheetData>
    <row r="1" spans="1:14" ht="23.25">
      <c r="A1" s="802" t="s">
        <v>112</v>
      </c>
      <c r="B1" s="803"/>
      <c r="C1" s="803"/>
      <c r="D1" s="803"/>
      <c r="E1" s="803"/>
      <c r="F1" s="803"/>
      <c r="G1" s="803"/>
      <c r="H1" s="803"/>
      <c r="I1" s="803"/>
      <c r="J1" s="804"/>
    </row>
    <row r="3" spans="1:14" ht="13.5" customHeight="1">
      <c r="A3" s="805" t="s">
        <v>12</v>
      </c>
      <c r="B3" s="806"/>
      <c r="C3" s="806"/>
      <c r="D3" s="806"/>
      <c r="E3" s="806"/>
      <c r="F3" s="806"/>
      <c r="G3" s="806"/>
      <c r="H3" s="806"/>
      <c r="I3" s="806"/>
      <c r="J3" s="807"/>
      <c r="M3" s="13" t="s">
        <v>12</v>
      </c>
      <c r="N3" s="76">
        <v>8</v>
      </c>
    </row>
    <row r="4" spans="1:14" ht="13.5" customHeight="1">
      <c r="A4" s="808"/>
      <c r="B4" s="809"/>
      <c r="C4" s="809"/>
      <c r="D4" s="809"/>
      <c r="E4" s="809"/>
      <c r="F4" s="809"/>
      <c r="G4" s="809"/>
      <c r="H4" s="809"/>
      <c r="I4" s="809"/>
      <c r="J4" s="810"/>
      <c r="M4" s="13" t="s">
        <v>44</v>
      </c>
      <c r="N4" s="76">
        <v>33</v>
      </c>
    </row>
    <row r="5" spans="1:14" ht="13.5" customHeight="1" thickBot="1">
      <c r="A5" s="9"/>
      <c r="B5" s="9"/>
      <c r="C5" s="9"/>
      <c r="D5" s="9"/>
      <c r="E5" s="9"/>
      <c r="F5" s="9"/>
      <c r="G5" s="9"/>
      <c r="H5" s="9"/>
      <c r="I5" s="9"/>
      <c r="M5" s="13" t="s">
        <v>196</v>
      </c>
      <c r="N5" s="76">
        <v>53</v>
      </c>
    </row>
    <row r="6" spans="1:14" ht="13.5" customHeight="1">
      <c r="A6" s="2" t="s">
        <v>23</v>
      </c>
      <c r="B6" s="3"/>
      <c r="C6" s="138">
        <f>D6-1</f>
        <v>2007</v>
      </c>
      <c r="D6" s="785">
        <f>F6-1</f>
        <v>2008</v>
      </c>
      <c r="E6" s="786"/>
      <c r="F6" s="785">
        <f>H6-1</f>
        <v>2009</v>
      </c>
      <c r="G6" s="786"/>
      <c r="H6" s="785">
        <f>'A1'!C3</f>
        <v>2010</v>
      </c>
      <c r="I6" s="786"/>
      <c r="J6" s="138">
        <f>H6+1</f>
        <v>2011</v>
      </c>
      <c r="M6" s="13" t="s">
        <v>81</v>
      </c>
      <c r="N6" s="76">
        <v>76</v>
      </c>
    </row>
    <row r="7" spans="1:14" ht="13.5" customHeight="1">
      <c r="A7" s="46"/>
      <c r="B7" s="3"/>
      <c r="C7" s="787" t="s">
        <v>28</v>
      </c>
      <c r="D7" s="788"/>
      <c r="E7" s="788"/>
      <c r="F7" s="788"/>
      <c r="G7" s="788"/>
      <c r="H7" s="788"/>
      <c r="I7" s="788"/>
      <c r="J7" s="789"/>
    </row>
    <row r="8" spans="1:14" ht="13.5" customHeight="1" thickBot="1">
      <c r="A8" s="8" t="s">
        <v>26</v>
      </c>
      <c r="B8" s="4"/>
      <c r="C8" s="133" t="s">
        <v>12</v>
      </c>
      <c r="D8" s="134" t="s">
        <v>12</v>
      </c>
      <c r="E8" s="135" t="s">
        <v>24</v>
      </c>
      <c r="F8" s="134" t="s">
        <v>12</v>
      </c>
      <c r="G8" s="135" t="s">
        <v>24</v>
      </c>
      <c r="H8" s="134" t="s">
        <v>12</v>
      </c>
      <c r="I8" s="135" t="s">
        <v>24</v>
      </c>
      <c r="J8" s="133" t="s">
        <v>12</v>
      </c>
    </row>
    <row r="9" spans="1:14" ht="13.5" customHeight="1">
      <c r="A9" s="5" t="str">
        <f ca="1">INDIRECT("'"&amp;"A1"&amp;"'"&amp;"!"&amp;"C"&amp;B9-15)</f>
        <v>Weatherization</v>
      </c>
      <c r="B9" s="228">
        <v>51</v>
      </c>
      <c r="C9" s="310">
        <v>29103</v>
      </c>
      <c r="D9" s="310">
        <v>137410</v>
      </c>
      <c r="E9" s="311">
        <f>48157</f>
        <v>48157</v>
      </c>
      <c r="F9" s="310">
        <v>137410</v>
      </c>
      <c r="G9" s="311">
        <f>117776</f>
        <v>117776</v>
      </c>
      <c r="H9" s="136">
        <f ca="1">INDIRECT("'"&amp;"A1"&amp;"'"&amp;"!"&amp;"C"&amp;B9)</f>
        <v>1129500</v>
      </c>
      <c r="I9" s="137">
        <f ca="1">INDIRECT("'"&amp;"A1"&amp;"'"&amp;"!"&amp;"I"&amp;B9)</f>
        <v>1103808.42</v>
      </c>
      <c r="J9" s="406">
        <f ca="1">INDIRECT("'"&amp;"A1"&amp;"'"&amp;"!"&amp;"Q"&amp;B9)</f>
        <v>0</v>
      </c>
    </row>
    <row r="10" spans="1:14" ht="13.5" customHeight="1">
      <c r="A10" s="5" t="str">
        <f ca="1">INDIRECT("'"&amp;"A1"&amp;"'"&amp;"!"&amp;"C"&amp;B10-15)</f>
        <v>Living Wise</v>
      </c>
      <c r="B10" s="228">
        <f>B9+30</f>
        <v>81</v>
      </c>
      <c r="C10" s="310">
        <v>9303</v>
      </c>
      <c r="D10" s="310">
        <v>37213</v>
      </c>
      <c r="E10" s="311">
        <v>45939</v>
      </c>
      <c r="F10" s="310">
        <v>37213</v>
      </c>
      <c r="G10" s="311">
        <v>34135</v>
      </c>
      <c r="H10" s="136">
        <f t="shared" ref="H10:H23" ca="1" si="0">INDIRECT("'"&amp;"A1"&amp;"'"&amp;"!"&amp;"C"&amp;B10)</f>
        <v>61000</v>
      </c>
      <c r="I10" s="137">
        <f t="shared" ref="I10:I23" ca="1" si="1">INDIRECT("'"&amp;"A1"&amp;"'"&amp;"!"&amp;"I"&amp;B10)</f>
        <v>49404.77</v>
      </c>
      <c r="J10" s="406">
        <f t="shared" ref="J10:J23" ca="1" si="2">INDIRECT("'"&amp;"A1"&amp;"'"&amp;"!"&amp;"Q"&amp;B10)</f>
        <v>0</v>
      </c>
    </row>
    <row r="11" spans="1:14" ht="13.5" customHeight="1">
      <c r="A11" s="5" t="str">
        <f t="shared" ref="A11:A23" ca="1" si="3">INDIRECT("'"&amp;"A1"&amp;"'"&amp;"!"&amp;"C"&amp;B11-15)</f>
        <v>CER</v>
      </c>
      <c r="B11" s="228">
        <f t="shared" ref="B11:B23" si="4">B10+30</f>
        <v>111</v>
      </c>
      <c r="C11" s="310">
        <v>13250</v>
      </c>
      <c r="D11" s="310">
        <v>53000</v>
      </c>
      <c r="E11" s="311">
        <v>70346</v>
      </c>
      <c r="F11" s="310">
        <v>53000</v>
      </c>
      <c r="G11" s="311">
        <v>23244</v>
      </c>
      <c r="H11" s="136">
        <f t="shared" ca="1" si="0"/>
        <v>7000</v>
      </c>
      <c r="I11" s="137">
        <f t="shared" ca="1" si="1"/>
        <v>60.87</v>
      </c>
      <c r="J11" s="406">
        <f t="shared" ca="1" si="2"/>
        <v>0</v>
      </c>
    </row>
    <row r="12" spans="1:14" ht="13.5" customHeight="1">
      <c r="A12" s="5" t="str">
        <f t="shared" ca="1" si="3"/>
        <v>Commercial Lighting</v>
      </c>
      <c r="B12" s="228">
        <f t="shared" si="4"/>
        <v>141</v>
      </c>
      <c r="C12" s="310">
        <v>13398</v>
      </c>
      <c r="D12" s="310">
        <v>54482</v>
      </c>
      <c r="E12" s="311">
        <v>46513</v>
      </c>
      <c r="F12" s="310">
        <v>54482</v>
      </c>
      <c r="G12" s="311">
        <v>81963</v>
      </c>
      <c r="H12" s="136">
        <f t="shared" ca="1" si="0"/>
        <v>55440</v>
      </c>
      <c r="I12" s="137">
        <f t="shared" ca="1" si="1"/>
        <v>38104.33</v>
      </c>
      <c r="J12" s="406">
        <f t="shared" ca="1" si="2"/>
        <v>0</v>
      </c>
    </row>
    <row r="13" spans="1:14" ht="13.5" customHeight="1">
      <c r="A13" s="5" t="str">
        <f t="shared" ca="1" si="3"/>
        <v>Commercial Motors</v>
      </c>
      <c r="B13" s="228">
        <f t="shared" si="4"/>
        <v>171</v>
      </c>
      <c r="C13" s="310">
        <v>14250</v>
      </c>
      <c r="D13" s="310">
        <v>65550</v>
      </c>
      <c r="E13" s="311">
        <v>51276</v>
      </c>
      <c r="F13" s="310">
        <v>65550</v>
      </c>
      <c r="G13" s="311">
        <v>44600</v>
      </c>
      <c r="H13" s="136">
        <f t="shared" ca="1" si="0"/>
        <v>7500</v>
      </c>
      <c r="I13" s="137">
        <f t="shared" ca="1" si="1"/>
        <v>11243.93</v>
      </c>
      <c r="J13" s="406">
        <f t="shared" ca="1" si="2"/>
        <v>0</v>
      </c>
    </row>
    <row r="14" spans="1:14" ht="13.5" customHeight="1">
      <c r="A14" s="5" t="str">
        <f t="shared" ca="1" si="3"/>
        <v xml:space="preserve">Energy Efficiency Arkansas (Collaborative) </v>
      </c>
      <c r="B14" s="228">
        <f t="shared" si="4"/>
        <v>201</v>
      </c>
      <c r="C14" s="310">
        <v>42648</v>
      </c>
      <c r="D14" s="310">
        <v>8600</v>
      </c>
      <c r="E14" s="311">
        <v>55062</v>
      </c>
      <c r="F14" s="310">
        <v>43956</v>
      </c>
      <c r="G14" s="311">
        <v>50267</v>
      </c>
      <c r="H14" s="136">
        <f t="shared" ca="1" si="0"/>
        <v>32045</v>
      </c>
      <c r="I14" s="137">
        <f t="shared" ca="1" si="1"/>
        <v>30950.14</v>
      </c>
      <c r="J14" s="406">
        <f t="shared" ca="1" si="2"/>
        <v>0</v>
      </c>
    </row>
    <row r="15" spans="1:14" ht="13.5" customHeight="1">
      <c r="A15" s="5" t="str">
        <f t="shared" ca="1" si="3"/>
        <v>CFL's (Quick Start ONLY)</v>
      </c>
      <c r="B15" s="228">
        <f t="shared" si="4"/>
        <v>231</v>
      </c>
      <c r="C15" s="310">
        <v>0</v>
      </c>
      <c r="D15" s="310">
        <v>28893</v>
      </c>
      <c r="E15" s="311">
        <v>5426</v>
      </c>
      <c r="F15" s="310">
        <v>28893</v>
      </c>
      <c r="G15" s="311">
        <v>339</v>
      </c>
      <c r="H15" s="136">
        <f t="shared" ca="1" si="0"/>
        <v>0</v>
      </c>
      <c r="I15" s="137">
        <f t="shared" ca="1" si="1"/>
        <v>0</v>
      </c>
      <c r="J15" s="406">
        <f t="shared" ca="1" si="2"/>
        <v>0</v>
      </c>
    </row>
    <row r="16" spans="1:14" ht="13.5" hidden="1" customHeight="1">
      <c r="A16" s="5" t="str">
        <f t="shared" ca="1" si="3"/>
        <v xml:space="preserve">AWP Weatherization </v>
      </c>
      <c r="B16" s="228">
        <f t="shared" si="4"/>
        <v>261</v>
      </c>
      <c r="C16" s="310"/>
      <c r="D16" s="310"/>
      <c r="E16" s="311"/>
      <c r="F16" s="310"/>
      <c r="G16" s="311"/>
      <c r="H16" s="136">
        <f t="shared" ca="1" si="0"/>
        <v>72000</v>
      </c>
      <c r="I16" s="137">
        <f t="shared" ca="1" si="1"/>
        <v>44927.62</v>
      </c>
      <c r="J16" s="406">
        <f t="shared" ca="1" si="2"/>
        <v>0</v>
      </c>
    </row>
    <row r="17" spans="1:10" ht="13.5" hidden="1" customHeight="1">
      <c r="A17" s="5" t="str">
        <f t="shared" ca="1" si="3"/>
        <v>Program 9</v>
      </c>
      <c r="B17" s="228">
        <f t="shared" si="4"/>
        <v>291</v>
      </c>
      <c r="C17" s="310"/>
      <c r="D17" s="310"/>
      <c r="E17" s="311"/>
      <c r="F17" s="310"/>
      <c r="G17" s="311"/>
      <c r="H17" s="136">
        <f t="shared" ca="1" si="0"/>
        <v>0</v>
      </c>
      <c r="I17" s="137">
        <f t="shared" ca="1" si="1"/>
        <v>0</v>
      </c>
      <c r="J17" s="406">
        <f t="shared" ca="1" si="2"/>
        <v>0</v>
      </c>
    </row>
    <row r="18" spans="1:10" ht="13.5" hidden="1" customHeight="1">
      <c r="A18" s="5" t="str">
        <f t="shared" ca="1" si="3"/>
        <v>Program 10</v>
      </c>
      <c r="B18" s="228">
        <f t="shared" si="4"/>
        <v>321</v>
      </c>
      <c r="C18" s="310"/>
      <c r="D18" s="310"/>
      <c r="E18" s="311"/>
      <c r="F18" s="310"/>
      <c r="G18" s="311"/>
      <c r="H18" s="136">
        <f t="shared" ca="1" si="0"/>
        <v>0</v>
      </c>
      <c r="I18" s="137">
        <f t="shared" ca="1" si="1"/>
        <v>0</v>
      </c>
      <c r="J18" s="406">
        <f t="shared" ca="1" si="2"/>
        <v>0</v>
      </c>
    </row>
    <row r="19" spans="1:10" ht="13.5" hidden="1" customHeight="1">
      <c r="A19" s="5" t="str">
        <f t="shared" ca="1" si="3"/>
        <v>Program 11</v>
      </c>
      <c r="B19" s="228">
        <f t="shared" si="4"/>
        <v>351</v>
      </c>
      <c r="C19" s="310"/>
      <c r="D19" s="310"/>
      <c r="E19" s="311"/>
      <c r="F19" s="310"/>
      <c r="G19" s="311"/>
      <c r="H19" s="136">
        <f t="shared" ca="1" si="0"/>
        <v>0</v>
      </c>
      <c r="I19" s="137">
        <f t="shared" ca="1" si="1"/>
        <v>0</v>
      </c>
      <c r="J19" s="406">
        <f t="shared" ca="1" si="2"/>
        <v>0</v>
      </c>
    </row>
    <row r="20" spans="1:10" ht="13.5" hidden="1" customHeight="1">
      <c r="A20" s="5" t="str">
        <f t="shared" ca="1" si="3"/>
        <v>Program 12</v>
      </c>
      <c r="B20" s="228">
        <f t="shared" si="4"/>
        <v>381</v>
      </c>
      <c r="C20" s="310"/>
      <c r="D20" s="310"/>
      <c r="E20" s="311"/>
      <c r="F20" s="310"/>
      <c r="G20" s="311"/>
      <c r="H20" s="136">
        <f t="shared" ca="1" si="0"/>
        <v>0</v>
      </c>
      <c r="I20" s="137">
        <f t="shared" ca="1" si="1"/>
        <v>0</v>
      </c>
      <c r="J20" s="406">
        <f t="shared" ca="1" si="2"/>
        <v>0</v>
      </c>
    </row>
    <row r="21" spans="1:10" ht="13.5" hidden="1" customHeight="1">
      <c r="A21" s="5" t="str">
        <f t="shared" ca="1" si="3"/>
        <v>Program 13</v>
      </c>
      <c r="B21" s="228">
        <f t="shared" si="4"/>
        <v>411</v>
      </c>
      <c r="C21" s="310"/>
      <c r="D21" s="310"/>
      <c r="E21" s="311"/>
      <c r="F21" s="310"/>
      <c r="G21" s="311"/>
      <c r="H21" s="136">
        <f t="shared" ca="1" si="0"/>
        <v>0</v>
      </c>
      <c r="I21" s="137">
        <f t="shared" ca="1" si="1"/>
        <v>0</v>
      </c>
      <c r="J21" s="406">
        <f t="shared" ca="1" si="2"/>
        <v>0</v>
      </c>
    </row>
    <row r="22" spans="1:10" ht="13.5" hidden="1" customHeight="1">
      <c r="A22" s="5" t="str">
        <f t="shared" ca="1" si="3"/>
        <v>Program 14</v>
      </c>
      <c r="B22" s="228">
        <f t="shared" si="4"/>
        <v>441</v>
      </c>
      <c r="C22" s="310"/>
      <c r="D22" s="310"/>
      <c r="E22" s="311"/>
      <c r="F22" s="310"/>
      <c r="G22" s="311"/>
      <c r="H22" s="136">
        <f t="shared" ca="1" si="0"/>
        <v>0</v>
      </c>
      <c r="I22" s="137">
        <f t="shared" ca="1" si="1"/>
        <v>0</v>
      </c>
      <c r="J22" s="406">
        <f t="shared" ca="1" si="2"/>
        <v>0</v>
      </c>
    </row>
    <row r="23" spans="1:10" ht="13.5" hidden="1" customHeight="1">
      <c r="A23" s="5" t="str">
        <f t="shared" ca="1" si="3"/>
        <v>Program 15</v>
      </c>
      <c r="B23" s="228">
        <f t="shared" si="4"/>
        <v>471</v>
      </c>
      <c r="C23" s="310"/>
      <c r="D23" s="310"/>
      <c r="E23" s="311"/>
      <c r="F23" s="310"/>
      <c r="G23" s="311"/>
      <c r="H23" s="136">
        <f t="shared" ca="1" si="0"/>
        <v>0</v>
      </c>
      <c r="I23" s="137">
        <f t="shared" ca="1" si="1"/>
        <v>0</v>
      </c>
      <c r="J23" s="406">
        <f t="shared" ca="1" si="2"/>
        <v>0</v>
      </c>
    </row>
    <row r="24" spans="1:10" ht="13.5" customHeight="1" thickBot="1">
      <c r="A24" s="5" t="str">
        <f>'A1'!A19</f>
        <v xml:space="preserve">Regulatory </v>
      </c>
      <c r="B24" s="228"/>
      <c r="C24" s="390"/>
      <c r="D24" s="391"/>
      <c r="E24" s="392"/>
      <c r="F24" s="391"/>
      <c r="G24" s="392"/>
      <c r="H24" s="393">
        <f>'A1'!C19</f>
        <v>0</v>
      </c>
      <c r="I24" s="394">
        <f>'A1'!I19</f>
        <v>0</v>
      </c>
      <c r="J24" s="508">
        <f>'A1'!Q19</f>
        <v>0</v>
      </c>
    </row>
    <row r="25" spans="1:10" ht="13.5" customHeight="1" thickBot="1">
      <c r="A25" s="34" t="s">
        <v>30</v>
      </c>
      <c r="B25" s="9"/>
      <c r="C25" s="487">
        <f t="shared" ref="C25:J25" si="5">SUM(C9:C24)</f>
        <v>121952</v>
      </c>
      <c r="D25" s="488">
        <f t="shared" si="5"/>
        <v>385148</v>
      </c>
      <c r="E25" s="492">
        <f t="shared" si="5"/>
        <v>322719</v>
      </c>
      <c r="F25" s="488">
        <f t="shared" si="5"/>
        <v>420504</v>
      </c>
      <c r="G25" s="492">
        <f t="shared" si="5"/>
        <v>352324</v>
      </c>
      <c r="H25" s="488">
        <f t="shared" ca="1" si="5"/>
        <v>1364485</v>
      </c>
      <c r="I25" s="492">
        <f t="shared" ca="1" si="5"/>
        <v>1278500.08</v>
      </c>
      <c r="J25" s="487">
        <f t="shared" ca="1" si="5"/>
        <v>0</v>
      </c>
    </row>
    <row r="28" spans="1:10" ht="13.5" customHeight="1">
      <c r="A28" s="811" t="s">
        <v>34</v>
      </c>
      <c r="B28" s="812"/>
      <c r="C28" s="812"/>
      <c r="D28" s="812"/>
      <c r="E28" s="812"/>
      <c r="F28" s="812"/>
      <c r="G28" s="812"/>
      <c r="H28" s="812"/>
      <c r="I28" s="812"/>
      <c r="J28" s="813"/>
    </row>
    <row r="29" spans="1:10" ht="13.5" customHeight="1">
      <c r="A29" s="814"/>
      <c r="B29" s="815"/>
      <c r="C29" s="815"/>
      <c r="D29" s="815"/>
      <c r="E29" s="815"/>
      <c r="F29" s="815"/>
      <c r="G29" s="815"/>
      <c r="H29" s="815"/>
      <c r="I29" s="815"/>
      <c r="J29" s="816"/>
    </row>
    <row r="30" spans="1:10" ht="13.5" customHeight="1" thickBot="1">
      <c r="A30" s="9"/>
      <c r="B30" s="9"/>
      <c r="C30" s="9"/>
      <c r="D30" s="9"/>
      <c r="E30" s="9"/>
      <c r="F30" s="9"/>
      <c r="G30" s="9"/>
      <c r="H30" s="9"/>
      <c r="I30" s="9"/>
    </row>
    <row r="31" spans="1:10" ht="13.5" customHeight="1">
      <c r="A31" s="441" t="str">
        <f>"Lifetime Energy Savings ("&amp;C32&amp;")"</f>
        <v>Lifetime Energy Savings (kWh)</v>
      </c>
      <c r="B31" s="9"/>
      <c r="C31" s="138">
        <f>C6</f>
        <v>2007</v>
      </c>
      <c r="D31" s="785">
        <f>D6</f>
        <v>2008</v>
      </c>
      <c r="E31" s="786"/>
      <c r="F31" s="785">
        <f>F6</f>
        <v>2009</v>
      </c>
      <c r="G31" s="786"/>
      <c r="H31" s="785">
        <f>H6</f>
        <v>2010</v>
      </c>
      <c r="I31" s="786"/>
      <c r="J31" s="138">
        <f>J6</f>
        <v>2011</v>
      </c>
    </row>
    <row r="32" spans="1:10" ht="13.5" customHeight="1">
      <c r="A32" s="46"/>
      <c r="B32" s="9"/>
      <c r="C32" s="787" t="str">
        <f>VLOOKUP('A1'!$I$4,'Pull-down list'!D2:F3,2)</f>
        <v>kWh</v>
      </c>
      <c r="D32" s="788"/>
      <c r="E32" s="788"/>
      <c r="F32" s="788"/>
      <c r="G32" s="788"/>
      <c r="H32" s="788"/>
      <c r="I32" s="788"/>
      <c r="J32" s="789"/>
    </row>
    <row r="33" spans="1:10" ht="13.5" customHeight="1" thickBot="1">
      <c r="A33" s="8" t="s">
        <v>26</v>
      </c>
      <c r="B33" s="9"/>
      <c r="C33" s="133" t="s">
        <v>12</v>
      </c>
      <c r="D33" s="134" t="s">
        <v>12</v>
      </c>
      <c r="E33" s="135" t="s">
        <v>24</v>
      </c>
      <c r="F33" s="134" t="s">
        <v>12</v>
      </c>
      <c r="G33" s="135" t="s">
        <v>24</v>
      </c>
      <c r="H33" s="134" t="s">
        <v>12</v>
      </c>
      <c r="I33" s="135" t="s">
        <v>24</v>
      </c>
      <c r="J33" s="135" t="s">
        <v>12</v>
      </c>
    </row>
    <row r="34" spans="1:10" ht="13.5" customHeight="1">
      <c r="A34" s="5" t="str">
        <f t="shared" ref="A34:A39" ca="1" si="6">A9</f>
        <v>Weatherization</v>
      </c>
      <c r="B34" s="228">
        <v>58</v>
      </c>
      <c r="C34" s="312"/>
      <c r="D34" s="312">
        <f>232297*10</f>
        <v>2322970</v>
      </c>
      <c r="E34" s="313">
        <f>147600*10</f>
        <v>1476000</v>
      </c>
      <c r="F34" s="312">
        <f>464593*10</f>
        <v>4645930</v>
      </c>
      <c r="G34" s="313">
        <f>184500*10</f>
        <v>1845000</v>
      </c>
      <c r="H34" s="141">
        <f t="shared" ref="H34:H39" ca="1" si="7">INDIRECT("'"&amp;"A1"&amp;"'"&amp;"!"&amp;"C"&amp;B34)</f>
        <v>20207010.300000001</v>
      </c>
      <c r="I34" s="142">
        <f t="shared" ref="I34:I48" ca="1" si="8">INDIRECT("'"&amp;"A1"&amp;"'"&amp;"!"&amp;"D"&amp;B34)</f>
        <v>25934298</v>
      </c>
      <c r="J34" s="142">
        <f ca="1">INDIRECT("'"&amp;"A1"&amp;"'"&amp;"!"&amp;"F"&amp;B34)</f>
        <v>10101989.699999999</v>
      </c>
    </row>
    <row r="35" spans="1:10" ht="13.5" customHeight="1">
      <c r="A35" s="5" t="str">
        <f t="shared" ca="1" si="6"/>
        <v>Living Wise</v>
      </c>
      <c r="B35" s="228">
        <f>B34+30</f>
        <v>88</v>
      </c>
      <c r="C35" s="312"/>
      <c r="D35" s="312">
        <f>121371*10</f>
        <v>1213710</v>
      </c>
      <c r="E35" s="313">
        <f>333060*10</f>
        <v>3330600</v>
      </c>
      <c r="F35" s="312">
        <f>242743*10</f>
        <v>2427430</v>
      </c>
      <c r="G35" s="313">
        <f>484575*10</f>
        <v>4845750</v>
      </c>
      <c r="H35" s="141">
        <f t="shared" ca="1" si="7"/>
        <v>1156820.1749999998</v>
      </c>
      <c r="I35" s="142">
        <f t="shared" ca="1" si="8"/>
        <v>213681.92098496083</v>
      </c>
      <c r="J35" s="142">
        <f t="shared" ref="J35:J48" ca="1" si="9">INDIRECT("'"&amp;"A1"&amp;"'"&amp;"!"&amp;"F"&amp;B35)</f>
        <v>580929.82500000019</v>
      </c>
    </row>
    <row r="36" spans="1:10" ht="13.5" customHeight="1">
      <c r="A36" s="5" t="str">
        <f t="shared" ca="1" si="6"/>
        <v>CER</v>
      </c>
      <c r="B36" s="228">
        <f t="shared" ref="B36:B48" si="10">B35+30</f>
        <v>118</v>
      </c>
      <c r="C36" s="312"/>
      <c r="D36" s="312">
        <f>678798*10</f>
        <v>6787980</v>
      </c>
      <c r="E36" s="313">
        <f>727804*10</f>
        <v>7278040</v>
      </c>
      <c r="F36" s="312">
        <f>1357595*10</f>
        <v>13575950</v>
      </c>
      <c r="G36" s="313">
        <f>326840*10</f>
        <v>3268400</v>
      </c>
      <c r="H36" s="141">
        <f t="shared" ca="1" si="7"/>
        <v>1680757.3670000001</v>
      </c>
      <c r="I36" s="142">
        <f t="shared" ca="1" si="8"/>
        <v>178640</v>
      </c>
      <c r="J36" s="142">
        <f t="shared" ca="1" si="9"/>
        <v>840252.63299999991</v>
      </c>
    </row>
    <row r="37" spans="1:10" ht="13.5" customHeight="1">
      <c r="A37" s="5" t="str">
        <f t="shared" ca="1" si="6"/>
        <v>Commercial Lighting</v>
      </c>
      <c r="B37" s="228">
        <f t="shared" si="10"/>
        <v>148</v>
      </c>
      <c r="C37" s="312"/>
      <c r="D37" s="312">
        <f>811529*10</f>
        <v>8115290</v>
      </c>
      <c r="E37" s="313">
        <f>1215394*10</f>
        <v>12153940</v>
      </c>
      <c r="F37" s="312">
        <f>1623058*10</f>
        <v>16230580</v>
      </c>
      <c r="G37" s="313">
        <f>4606137*10</f>
        <v>46061370</v>
      </c>
      <c r="H37" s="141">
        <f t="shared" ca="1" si="7"/>
        <v>15000750.000000002</v>
      </c>
      <c r="I37" s="142">
        <f t="shared" ca="1" si="8"/>
        <v>14465848.2864</v>
      </c>
      <c r="J37" s="142">
        <f t="shared" ca="1" si="9"/>
        <v>7499250</v>
      </c>
    </row>
    <row r="38" spans="1:10" ht="13.5" customHeight="1">
      <c r="A38" s="5" t="str">
        <f t="shared" ca="1" si="6"/>
        <v>Commercial Motors</v>
      </c>
      <c r="B38" s="228">
        <f t="shared" si="10"/>
        <v>178</v>
      </c>
      <c r="C38" s="312"/>
      <c r="D38" s="312">
        <f>36277*15</f>
        <v>544155</v>
      </c>
      <c r="E38" s="313">
        <f>10880*15</f>
        <v>163200</v>
      </c>
      <c r="F38" s="312">
        <f>72553*15</f>
        <v>1088295</v>
      </c>
      <c r="G38" s="313">
        <f>5899*15</f>
        <v>88485</v>
      </c>
      <c r="H38" s="141">
        <f t="shared" ca="1" si="7"/>
        <v>740703.70000000007</v>
      </c>
      <c r="I38" s="142">
        <f t="shared" ca="1" si="8"/>
        <v>1389834.9574999998</v>
      </c>
      <c r="J38" s="142">
        <f t="shared" ca="1" si="9"/>
        <v>370351.85000000003</v>
      </c>
    </row>
    <row r="39" spans="1:10" ht="13.5" customHeight="1">
      <c r="A39" s="5" t="str">
        <f t="shared" ca="1" si="6"/>
        <v xml:space="preserve">Energy Efficiency Arkansas (Collaborative) </v>
      </c>
      <c r="B39" s="228">
        <f t="shared" si="10"/>
        <v>208</v>
      </c>
      <c r="C39" s="312"/>
      <c r="D39" s="312">
        <v>0</v>
      </c>
      <c r="E39" s="313">
        <v>0</v>
      </c>
      <c r="F39" s="312">
        <v>0</v>
      </c>
      <c r="G39" s="313">
        <v>0</v>
      </c>
      <c r="H39" s="141">
        <f t="shared" ca="1" si="7"/>
        <v>0</v>
      </c>
      <c r="I39" s="142">
        <f t="shared" ca="1" si="8"/>
        <v>0</v>
      </c>
      <c r="J39" s="142">
        <f t="shared" ca="1" si="9"/>
        <v>0</v>
      </c>
    </row>
    <row r="40" spans="1:10" ht="13.5" customHeight="1" thickBot="1">
      <c r="A40" s="5" t="str">
        <f t="shared" ref="A40:A47" ca="1" si="11">A15</f>
        <v>CFL's (Quick Start ONLY)</v>
      </c>
      <c r="B40" s="228">
        <f t="shared" si="10"/>
        <v>238</v>
      </c>
      <c r="C40" s="312"/>
      <c r="D40" s="312">
        <f>344981*7</f>
        <v>2414867</v>
      </c>
      <c r="E40" s="313">
        <v>0</v>
      </c>
      <c r="F40" s="312">
        <f>689962*7</f>
        <v>4829734</v>
      </c>
      <c r="G40" s="313">
        <v>0</v>
      </c>
      <c r="H40" s="141">
        <f t="shared" ref="H40:H47" ca="1" si="12">INDIRECT("'"&amp;"A1"&amp;"'"&amp;"!"&amp;"C"&amp;B40)</f>
        <v>0</v>
      </c>
      <c r="I40" s="142">
        <f t="shared" ca="1" si="8"/>
        <v>0</v>
      </c>
      <c r="J40" s="142">
        <f t="shared" ca="1" si="9"/>
        <v>0</v>
      </c>
    </row>
    <row r="41" spans="1:10" ht="13.5" hidden="1" customHeight="1">
      <c r="A41" s="5" t="str">
        <f t="shared" ca="1" si="11"/>
        <v xml:space="preserve">AWP Weatherization </v>
      </c>
      <c r="B41" s="228">
        <f t="shared" si="10"/>
        <v>268</v>
      </c>
      <c r="C41" s="312"/>
      <c r="D41" s="312"/>
      <c r="E41" s="313"/>
      <c r="F41" s="312"/>
      <c r="G41" s="313"/>
      <c r="H41" s="141">
        <f t="shared" ca="1" si="12"/>
        <v>0</v>
      </c>
      <c r="I41" s="142">
        <f t="shared" ca="1" si="8"/>
        <v>3976931.3220000006</v>
      </c>
      <c r="J41" s="142">
        <f t="shared" ca="1" si="9"/>
        <v>0</v>
      </c>
    </row>
    <row r="42" spans="1:10" ht="13.5" hidden="1" customHeight="1">
      <c r="A42" s="5" t="str">
        <f t="shared" ca="1" si="11"/>
        <v>Program 9</v>
      </c>
      <c r="B42" s="228">
        <f t="shared" si="10"/>
        <v>298</v>
      </c>
      <c r="C42" s="312"/>
      <c r="D42" s="312"/>
      <c r="E42" s="313"/>
      <c r="F42" s="312"/>
      <c r="G42" s="313"/>
      <c r="H42" s="141">
        <f t="shared" ca="1" si="12"/>
        <v>0</v>
      </c>
      <c r="I42" s="142">
        <f t="shared" ca="1" si="8"/>
        <v>0</v>
      </c>
      <c r="J42" s="142">
        <f t="shared" ca="1" si="9"/>
        <v>0</v>
      </c>
    </row>
    <row r="43" spans="1:10" ht="13.5" hidden="1" customHeight="1">
      <c r="A43" s="5" t="str">
        <f t="shared" ca="1" si="11"/>
        <v>Program 10</v>
      </c>
      <c r="B43" s="228">
        <f t="shared" si="10"/>
        <v>328</v>
      </c>
      <c r="C43" s="312"/>
      <c r="D43" s="312"/>
      <c r="E43" s="313"/>
      <c r="F43" s="312"/>
      <c r="G43" s="313"/>
      <c r="H43" s="141">
        <f t="shared" ca="1" si="12"/>
        <v>0</v>
      </c>
      <c r="I43" s="142">
        <f t="shared" ca="1" si="8"/>
        <v>0</v>
      </c>
      <c r="J43" s="142">
        <f t="shared" ca="1" si="9"/>
        <v>0</v>
      </c>
    </row>
    <row r="44" spans="1:10" ht="13.5" hidden="1" customHeight="1">
      <c r="A44" s="5" t="str">
        <f t="shared" ca="1" si="11"/>
        <v>Program 11</v>
      </c>
      <c r="B44" s="228">
        <f t="shared" si="10"/>
        <v>358</v>
      </c>
      <c r="C44" s="312"/>
      <c r="D44" s="312"/>
      <c r="E44" s="313"/>
      <c r="F44" s="312"/>
      <c r="G44" s="313"/>
      <c r="H44" s="141">
        <f t="shared" ca="1" si="12"/>
        <v>0</v>
      </c>
      <c r="I44" s="142">
        <f t="shared" ca="1" si="8"/>
        <v>0</v>
      </c>
      <c r="J44" s="142">
        <f t="shared" ca="1" si="9"/>
        <v>0</v>
      </c>
    </row>
    <row r="45" spans="1:10" ht="13.5" hidden="1" customHeight="1">
      <c r="A45" s="5" t="str">
        <f t="shared" ca="1" si="11"/>
        <v>Program 12</v>
      </c>
      <c r="B45" s="228">
        <f t="shared" si="10"/>
        <v>388</v>
      </c>
      <c r="C45" s="312"/>
      <c r="D45" s="312"/>
      <c r="E45" s="313"/>
      <c r="F45" s="312"/>
      <c r="G45" s="313"/>
      <c r="H45" s="141">
        <f t="shared" ca="1" si="12"/>
        <v>0</v>
      </c>
      <c r="I45" s="142">
        <f t="shared" ca="1" si="8"/>
        <v>0</v>
      </c>
      <c r="J45" s="142">
        <f t="shared" ca="1" si="9"/>
        <v>0</v>
      </c>
    </row>
    <row r="46" spans="1:10" ht="13.5" hidden="1" customHeight="1">
      <c r="A46" s="5" t="str">
        <f t="shared" ca="1" si="11"/>
        <v>Program 13</v>
      </c>
      <c r="B46" s="228">
        <f t="shared" si="10"/>
        <v>418</v>
      </c>
      <c r="C46" s="312"/>
      <c r="D46" s="312"/>
      <c r="E46" s="313"/>
      <c r="F46" s="312"/>
      <c r="G46" s="313"/>
      <c r="H46" s="141">
        <f t="shared" ca="1" si="12"/>
        <v>0</v>
      </c>
      <c r="I46" s="142">
        <f t="shared" ca="1" si="8"/>
        <v>0</v>
      </c>
      <c r="J46" s="142">
        <f t="shared" ca="1" si="9"/>
        <v>0</v>
      </c>
    </row>
    <row r="47" spans="1:10" ht="13.5" hidden="1" customHeight="1">
      <c r="A47" s="5" t="str">
        <f t="shared" ca="1" si="11"/>
        <v>Program 14</v>
      </c>
      <c r="B47" s="228">
        <f t="shared" si="10"/>
        <v>448</v>
      </c>
      <c r="C47" s="312"/>
      <c r="D47" s="312"/>
      <c r="E47" s="313"/>
      <c r="F47" s="312"/>
      <c r="G47" s="313"/>
      <c r="H47" s="141">
        <f t="shared" ca="1" si="12"/>
        <v>0</v>
      </c>
      <c r="I47" s="142">
        <f t="shared" ca="1" si="8"/>
        <v>0</v>
      </c>
      <c r="J47" s="142">
        <f t="shared" ca="1" si="9"/>
        <v>0</v>
      </c>
    </row>
    <row r="48" spans="1:10" ht="13.5" hidden="1" customHeight="1" thickBot="1">
      <c r="A48" s="11" t="str">
        <f ca="1">A23</f>
        <v>Program 15</v>
      </c>
      <c r="B48" s="228">
        <f t="shared" si="10"/>
        <v>478</v>
      </c>
      <c r="C48" s="486"/>
      <c r="D48" s="486"/>
      <c r="E48" s="489"/>
      <c r="F48" s="486"/>
      <c r="G48" s="489"/>
      <c r="H48" s="490">
        <f ca="1">INDIRECT("'"&amp;"A1"&amp;"'"&amp;"!"&amp;"C"&amp;B48)</f>
        <v>0</v>
      </c>
      <c r="I48" s="491">
        <f t="shared" ca="1" si="8"/>
        <v>0</v>
      </c>
      <c r="J48" s="491">
        <f t="shared" ca="1" si="9"/>
        <v>0</v>
      </c>
    </row>
    <row r="49" spans="1:10" ht="13.5" customHeight="1" thickBot="1">
      <c r="A49" s="34" t="s">
        <v>30</v>
      </c>
      <c r="B49" s="9"/>
      <c r="C49" s="487">
        <f t="shared" ref="C49:J49" si="13">SUM(C34:C48)</f>
        <v>0</v>
      </c>
      <c r="D49" s="488">
        <f t="shared" si="13"/>
        <v>21398972</v>
      </c>
      <c r="E49" s="492">
        <f t="shared" si="13"/>
        <v>24401780</v>
      </c>
      <c r="F49" s="488">
        <f t="shared" si="13"/>
        <v>42797919</v>
      </c>
      <c r="G49" s="492">
        <f t="shared" si="13"/>
        <v>56109005</v>
      </c>
      <c r="H49" s="488">
        <f t="shared" ca="1" si="13"/>
        <v>38786041.542000003</v>
      </c>
      <c r="I49" s="492">
        <f t="shared" ca="1" si="13"/>
        <v>46159234.486884966</v>
      </c>
      <c r="J49" s="492">
        <f t="shared" ca="1" si="13"/>
        <v>19392774.008000001</v>
      </c>
    </row>
    <row r="50" spans="1:10" ht="13.5" customHeight="1" thickBot="1">
      <c r="A50" s="9"/>
      <c r="B50" s="9"/>
      <c r="C50" s="9"/>
      <c r="D50" s="9"/>
      <c r="E50" s="9"/>
      <c r="F50" s="9"/>
      <c r="G50" s="9"/>
      <c r="H50" s="9"/>
      <c r="I50" s="9"/>
    </row>
    <row r="51" spans="1:10" ht="13.5" customHeight="1">
      <c r="A51" s="441" t="str">
        <f>"Lifetime Demand Savings ("&amp;C52&amp;")"</f>
        <v>Lifetime Demand Savings (kW*Yrs)</v>
      </c>
      <c r="B51" s="3"/>
      <c r="C51" s="138">
        <f>C6</f>
        <v>2007</v>
      </c>
      <c r="D51" s="785">
        <f>D6</f>
        <v>2008</v>
      </c>
      <c r="E51" s="786"/>
      <c r="F51" s="785">
        <f>F6</f>
        <v>2009</v>
      </c>
      <c r="G51" s="786"/>
      <c r="H51" s="785">
        <f>H6</f>
        <v>2010</v>
      </c>
      <c r="I51" s="786"/>
      <c r="J51" s="138">
        <f>J6</f>
        <v>2011</v>
      </c>
    </row>
    <row r="52" spans="1:10" ht="13.5" customHeight="1">
      <c r="A52" s="46"/>
      <c r="B52" s="3"/>
      <c r="C52" s="787" t="str">
        <f>VLOOKUP('A1'!$I$4,'Pull-down list'!D2:F3,3)&amp;"*Yrs"</f>
        <v>kW*Yrs</v>
      </c>
      <c r="D52" s="788"/>
      <c r="E52" s="788"/>
      <c r="F52" s="788"/>
      <c r="G52" s="788"/>
      <c r="H52" s="788"/>
      <c r="I52" s="788"/>
      <c r="J52" s="789"/>
    </row>
    <row r="53" spans="1:10" ht="13.5" customHeight="1" thickBot="1">
      <c r="A53" s="8" t="s">
        <v>26</v>
      </c>
      <c r="B53" s="4"/>
      <c r="C53" s="133" t="s">
        <v>12</v>
      </c>
      <c r="D53" s="134" t="s">
        <v>12</v>
      </c>
      <c r="E53" s="135" t="s">
        <v>24</v>
      </c>
      <c r="F53" s="134" t="s">
        <v>12</v>
      </c>
      <c r="G53" s="135" t="s">
        <v>24</v>
      </c>
      <c r="H53" s="134" t="s">
        <v>12</v>
      </c>
      <c r="I53" s="135" t="s">
        <v>24</v>
      </c>
      <c r="J53" s="134" t="s">
        <v>12</v>
      </c>
    </row>
    <row r="54" spans="1:10" ht="13.5" customHeight="1">
      <c r="A54" s="5" t="str">
        <f t="shared" ref="A54:A59" ca="1" si="14">A9</f>
        <v>Weatherization</v>
      </c>
      <c r="B54" s="228">
        <v>57</v>
      </c>
      <c r="C54" s="314"/>
      <c r="D54" s="315">
        <v>89.07</v>
      </c>
      <c r="E54" s="316">
        <v>41.23</v>
      </c>
      <c r="F54" s="315">
        <v>178.13</v>
      </c>
      <c r="G54" s="316">
        <v>66.5</v>
      </c>
      <c r="H54" s="139">
        <f t="shared" ref="H54:H68" ca="1" si="15">INDIRECT("'"&amp;"A1"&amp;"'"&amp;"!"&amp;"C"&amp;B54)</f>
        <v>611</v>
      </c>
      <c r="I54" s="140">
        <f t="shared" ref="I54:I68" ca="1" si="16">INDIRECT("'"&amp;"A1"&amp;"'"&amp;"!"&amp;"D"&amp;B54)</f>
        <v>782.18100000000004</v>
      </c>
      <c r="J54" s="140">
        <f ca="1">INDIRECT("'"&amp;"A1"&amp;"'"&amp;"!"&amp;"F"&amp;B54)</f>
        <v>305</v>
      </c>
    </row>
    <row r="55" spans="1:10" ht="13.5" customHeight="1">
      <c r="A55" s="5" t="str">
        <f t="shared" ca="1" si="14"/>
        <v>Living Wise</v>
      </c>
      <c r="B55" s="228">
        <f>B54+30</f>
        <v>87</v>
      </c>
      <c r="C55" s="314"/>
      <c r="D55" s="315">
        <v>13.69</v>
      </c>
      <c r="E55" s="316">
        <v>36.6</v>
      </c>
      <c r="F55" s="315">
        <v>27.39</v>
      </c>
      <c r="G55" s="316">
        <v>53.25</v>
      </c>
      <c r="H55" s="139">
        <f t="shared" ca="1" si="15"/>
        <v>11</v>
      </c>
      <c r="I55" s="140">
        <f t="shared" ca="1" si="16"/>
        <v>11.101021077465752</v>
      </c>
      <c r="J55" s="140">
        <f t="shared" ref="J55:J68" ca="1" si="17">INDIRECT("'"&amp;"A1"&amp;"'"&amp;"!"&amp;"F"&amp;B55)</f>
        <v>5</v>
      </c>
    </row>
    <row r="56" spans="1:10" ht="13.5" customHeight="1">
      <c r="A56" s="5" t="str">
        <f t="shared" ca="1" si="14"/>
        <v>CER</v>
      </c>
      <c r="B56" s="228">
        <f t="shared" ref="B56:B68" si="18">B55+30</f>
        <v>117</v>
      </c>
      <c r="C56" s="314"/>
      <c r="D56" s="315">
        <v>244.65</v>
      </c>
      <c r="E56" s="316">
        <v>283.56</v>
      </c>
      <c r="F56" s="315">
        <v>489.29</v>
      </c>
      <c r="G56" s="316">
        <v>106</v>
      </c>
      <c r="H56" s="139">
        <f t="shared" ca="1" si="15"/>
        <v>55</v>
      </c>
      <c r="I56" s="140">
        <f t="shared" ca="1" si="16"/>
        <v>5.8</v>
      </c>
      <c r="J56" s="140">
        <f t="shared" ca="1" si="17"/>
        <v>27</v>
      </c>
    </row>
    <row r="57" spans="1:10" ht="13.5" customHeight="1">
      <c r="A57" s="5" t="str">
        <f t="shared" ca="1" si="14"/>
        <v>Commercial Lighting</v>
      </c>
      <c r="B57" s="228">
        <f t="shared" si="18"/>
        <v>147</v>
      </c>
      <c r="C57" s="314"/>
      <c r="D57" s="315">
        <v>224.63</v>
      </c>
      <c r="E57" s="316">
        <v>300.88</v>
      </c>
      <c r="F57" s="315">
        <v>449.26</v>
      </c>
      <c r="G57" s="316">
        <v>694.06</v>
      </c>
      <c r="H57" s="139">
        <f t="shared" ca="1" si="15"/>
        <v>280</v>
      </c>
      <c r="I57" s="140">
        <f t="shared" ca="1" si="16"/>
        <v>431.66549999999995</v>
      </c>
      <c r="J57" s="140">
        <f t="shared" ca="1" si="17"/>
        <v>186</v>
      </c>
    </row>
    <row r="58" spans="1:10" ht="13.5" customHeight="1">
      <c r="A58" s="5" t="str">
        <f t="shared" ca="1" si="14"/>
        <v>Commercial Motors</v>
      </c>
      <c r="B58" s="228">
        <f t="shared" si="18"/>
        <v>177</v>
      </c>
      <c r="C58" s="314"/>
      <c r="D58" s="315">
        <v>13.12</v>
      </c>
      <c r="E58" s="316">
        <v>3.68</v>
      </c>
      <c r="F58" s="315">
        <v>26.25</v>
      </c>
      <c r="G58" s="316">
        <v>1.47</v>
      </c>
      <c r="H58" s="139">
        <f t="shared" ca="1" si="15"/>
        <v>13</v>
      </c>
      <c r="I58" s="140">
        <f t="shared" ca="1" si="16"/>
        <v>21.289950000000001</v>
      </c>
      <c r="J58" s="140">
        <f t="shared" ca="1" si="17"/>
        <v>8</v>
      </c>
    </row>
    <row r="59" spans="1:10" ht="13.5" customHeight="1">
      <c r="A59" s="5" t="str">
        <f t="shared" ca="1" si="14"/>
        <v xml:space="preserve">Energy Efficiency Arkansas (Collaborative) </v>
      </c>
      <c r="B59" s="228">
        <f t="shared" si="18"/>
        <v>207</v>
      </c>
      <c r="C59" s="314"/>
      <c r="D59" s="315">
        <v>0</v>
      </c>
      <c r="E59" s="316">
        <v>0</v>
      </c>
      <c r="F59" s="315">
        <v>0</v>
      </c>
      <c r="G59" s="316">
        <v>0</v>
      </c>
      <c r="H59" s="139">
        <f t="shared" ca="1" si="15"/>
        <v>0</v>
      </c>
      <c r="I59" s="140">
        <f t="shared" ca="1" si="16"/>
        <v>0</v>
      </c>
      <c r="J59" s="140">
        <f t="shared" ca="1" si="17"/>
        <v>0</v>
      </c>
    </row>
    <row r="60" spans="1:10" ht="13.5" customHeight="1" thickBot="1">
      <c r="A60" s="5" t="str">
        <f t="shared" ref="A60:A67" ca="1" si="19">A15</f>
        <v>CFL's (Quick Start ONLY)</v>
      </c>
      <c r="B60" s="228">
        <f t="shared" si="18"/>
        <v>237</v>
      </c>
      <c r="C60" s="314"/>
      <c r="D60" s="315">
        <v>427.23</v>
      </c>
      <c r="E60" s="316">
        <v>0</v>
      </c>
      <c r="F60" s="315">
        <v>854.46</v>
      </c>
      <c r="G60" s="316">
        <v>0</v>
      </c>
      <c r="H60" s="139">
        <f t="shared" ca="1" si="15"/>
        <v>0</v>
      </c>
      <c r="I60" s="140">
        <f t="shared" ca="1" si="16"/>
        <v>0</v>
      </c>
      <c r="J60" s="140">
        <f t="shared" ca="1" si="17"/>
        <v>0</v>
      </c>
    </row>
    <row r="61" spans="1:10" ht="13.5" hidden="1" customHeight="1">
      <c r="A61" s="5" t="str">
        <f t="shared" ca="1" si="19"/>
        <v xml:space="preserve">AWP Weatherization </v>
      </c>
      <c r="B61" s="228">
        <f t="shared" si="18"/>
        <v>267</v>
      </c>
      <c r="C61" s="314"/>
      <c r="D61" s="315"/>
      <c r="E61" s="316"/>
      <c r="F61" s="315"/>
      <c r="G61" s="316"/>
      <c r="H61" s="139">
        <f t="shared" ca="1" si="15"/>
        <v>0</v>
      </c>
      <c r="I61" s="140">
        <f t="shared" ca="1" si="16"/>
        <v>78.137220000000013</v>
      </c>
      <c r="J61" s="140">
        <f t="shared" ca="1" si="17"/>
        <v>0</v>
      </c>
    </row>
    <row r="62" spans="1:10" ht="13.5" hidden="1" customHeight="1">
      <c r="A62" s="5" t="str">
        <f t="shared" ca="1" si="19"/>
        <v>Program 9</v>
      </c>
      <c r="B62" s="228">
        <f t="shared" si="18"/>
        <v>297</v>
      </c>
      <c r="C62" s="314"/>
      <c r="D62" s="315"/>
      <c r="E62" s="316"/>
      <c r="F62" s="315"/>
      <c r="G62" s="316"/>
      <c r="H62" s="139">
        <f t="shared" ca="1" si="15"/>
        <v>0</v>
      </c>
      <c r="I62" s="140">
        <f t="shared" ca="1" si="16"/>
        <v>0</v>
      </c>
      <c r="J62" s="140">
        <f t="shared" ca="1" si="17"/>
        <v>0</v>
      </c>
    </row>
    <row r="63" spans="1:10" ht="13.5" hidden="1" customHeight="1">
      <c r="A63" s="5" t="str">
        <f t="shared" ca="1" si="19"/>
        <v>Program 10</v>
      </c>
      <c r="B63" s="228">
        <f t="shared" si="18"/>
        <v>327</v>
      </c>
      <c r="C63" s="314"/>
      <c r="D63" s="315"/>
      <c r="E63" s="316"/>
      <c r="F63" s="315"/>
      <c r="G63" s="316"/>
      <c r="H63" s="139">
        <f t="shared" ca="1" si="15"/>
        <v>0</v>
      </c>
      <c r="I63" s="140">
        <f t="shared" ca="1" si="16"/>
        <v>0</v>
      </c>
      <c r="J63" s="140">
        <f t="shared" ca="1" si="17"/>
        <v>0</v>
      </c>
    </row>
    <row r="64" spans="1:10" ht="13.5" hidden="1" customHeight="1">
      <c r="A64" s="5" t="str">
        <f t="shared" ca="1" si="19"/>
        <v>Program 11</v>
      </c>
      <c r="B64" s="228">
        <f t="shared" si="18"/>
        <v>357</v>
      </c>
      <c r="C64" s="314"/>
      <c r="D64" s="315"/>
      <c r="E64" s="316"/>
      <c r="F64" s="315"/>
      <c r="G64" s="316"/>
      <c r="H64" s="139">
        <f t="shared" ca="1" si="15"/>
        <v>0</v>
      </c>
      <c r="I64" s="140">
        <f t="shared" ca="1" si="16"/>
        <v>0</v>
      </c>
      <c r="J64" s="140">
        <f t="shared" ca="1" si="17"/>
        <v>0</v>
      </c>
    </row>
    <row r="65" spans="1:11" ht="13.5" hidden="1" customHeight="1">
      <c r="A65" s="5" t="str">
        <f t="shared" ca="1" si="19"/>
        <v>Program 12</v>
      </c>
      <c r="B65" s="228">
        <f t="shared" si="18"/>
        <v>387</v>
      </c>
      <c r="C65" s="314"/>
      <c r="D65" s="315"/>
      <c r="E65" s="316"/>
      <c r="F65" s="315"/>
      <c r="G65" s="316"/>
      <c r="H65" s="139">
        <f t="shared" ca="1" si="15"/>
        <v>0</v>
      </c>
      <c r="I65" s="140">
        <f t="shared" ca="1" si="16"/>
        <v>0</v>
      </c>
      <c r="J65" s="140">
        <f t="shared" ca="1" si="17"/>
        <v>0</v>
      </c>
    </row>
    <row r="66" spans="1:11" ht="13.5" hidden="1" customHeight="1">
      <c r="A66" s="5" t="str">
        <f t="shared" ca="1" si="19"/>
        <v>Program 13</v>
      </c>
      <c r="B66" s="228">
        <f t="shared" si="18"/>
        <v>417</v>
      </c>
      <c r="C66" s="314"/>
      <c r="D66" s="315"/>
      <c r="E66" s="316"/>
      <c r="F66" s="315"/>
      <c r="G66" s="316"/>
      <c r="H66" s="139">
        <f t="shared" ca="1" si="15"/>
        <v>0</v>
      </c>
      <c r="I66" s="140">
        <f t="shared" ca="1" si="16"/>
        <v>0</v>
      </c>
      <c r="J66" s="140">
        <f t="shared" ca="1" si="17"/>
        <v>0</v>
      </c>
    </row>
    <row r="67" spans="1:11" ht="13.5" hidden="1" customHeight="1">
      <c r="A67" s="5" t="str">
        <f t="shared" ca="1" si="19"/>
        <v>Program 14</v>
      </c>
      <c r="B67" s="228">
        <f t="shared" si="18"/>
        <v>447</v>
      </c>
      <c r="C67" s="314"/>
      <c r="D67" s="315"/>
      <c r="E67" s="316"/>
      <c r="F67" s="315"/>
      <c r="G67" s="316"/>
      <c r="H67" s="139">
        <f t="shared" ca="1" si="15"/>
        <v>0</v>
      </c>
      <c r="I67" s="140">
        <f t="shared" ca="1" si="16"/>
        <v>0</v>
      </c>
      <c r="J67" s="140">
        <f t="shared" ca="1" si="17"/>
        <v>0</v>
      </c>
    </row>
    <row r="68" spans="1:11" ht="13.5" hidden="1" customHeight="1" thickBot="1">
      <c r="A68" s="11" t="str">
        <f ca="1">A23</f>
        <v>Program 15</v>
      </c>
      <c r="B68" s="228">
        <f t="shared" si="18"/>
        <v>477</v>
      </c>
      <c r="C68" s="493"/>
      <c r="D68" s="494"/>
      <c r="E68" s="495"/>
      <c r="F68" s="494"/>
      <c r="G68" s="495"/>
      <c r="H68" s="496">
        <f t="shared" ca="1" si="15"/>
        <v>0</v>
      </c>
      <c r="I68" s="497">
        <f t="shared" ca="1" si="16"/>
        <v>0</v>
      </c>
      <c r="J68" s="497">
        <f t="shared" ca="1" si="17"/>
        <v>0</v>
      </c>
    </row>
    <row r="69" spans="1:11" ht="13.5" customHeight="1" thickBot="1">
      <c r="A69" s="34" t="s">
        <v>30</v>
      </c>
      <c r="B69" s="9"/>
      <c r="C69" s="498">
        <f t="shared" ref="C69:J69" si="20">SUM(C54:C68)</f>
        <v>0</v>
      </c>
      <c r="D69" s="499">
        <f t="shared" si="20"/>
        <v>1012.39</v>
      </c>
      <c r="E69" s="500">
        <f t="shared" si="20"/>
        <v>665.94999999999993</v>
      </c>
      <c r="F69" s="499">
        <f t="shared" si="20"/>
        <v>2024.78</v>
      </c>
      <c r="G69" s="500">
        <f t="shared" si="20"/>
        <v>921.28</v>
      </c>
      <c r="H69" s="499">
        <f t="shared" ca="1" si="20"/>
        <v>970</v>
      </c>
      <c r="I69" s="500">
        <f t="shared" ca="1" si="20"/>
        <v>1330.1746910774657</v>
      </c>
      <c r="J69" s="500">
        <f t="shared" ca="1" si="20"/>
        <v>531</v>
      </c>
    </row>
    <row r="72" spans="1:11" ht="13.5" customHeight="1">
      <c r="A72" s="796" t="s">
        <v>108</v>
      </c>
      <c r="B72" s="797"/>
      <c r="C72" s="797"/>
      <c r="D72" s="797"/>
      <c r="E72" s="797"/>
      <c r="F72" s="797"/>
      <c r="G72" s="797"/>
      <c r="H72" s="797"/>
      <c r="I72" s="797"/>
      <c r="J72" s="797"/>
      <c r="K72" s="798"/>
    </row>
    <row r="73" spans="1:11" ht="13.5" customHeight="1">
      <c r="A73" s="799"/>
      <c r="B73" s="800"/>
      <c r="C73" s="800"/>
      <c r="D73" s="800"/>
      <c r="E73" s="800"/>
      <c r="F73" s="800"/>
      <c r="G73" s="800"/>
      <c r="H73" s="800"/>
      <c r="I73" s="800"/>
      <c r="J73" s="800"/>
      <c r="K73" s="801"/>
    </row>
    <row r="74" spans="1:11" ht="13.5" customHeight="1" thickBot="1">
      <c r="A74" s="52"/>
      <c r="B74" s="52"/>
      <c r="C74" s="52"/>
      <c r="D74" s="52"/>
      <c r="E74" s="52"/>
      <c r="F74" s="52"/>
      <c r="G74" s="52"/>
    </row>
    <row r="75" spans="1:11" ht="13.5" customHeight="1">
      <c r="A75" s="173" t="s">
        <v>52</v>
      </c>
      <c r="B75" s="53"/>
      <c r="C75" s="790">
        <f>F75-1</f>
        <v>2008</v>
      </c>
      <c r="D75" s="791"/>
      <c r="E75" s="792"/>
      <c r="F75" s="793">
        <f>I75-1</f>
        <v>2009</v>
      </c>
      <c r="G75" s="794"/>
      <c r="H75" s="795"/>
      <c r="I75" s="793">
        <f>H6</f>
        <v>2010</v>
      </c>
      <c r="J75" s="794"/>
      <c r="K75" s="795"/>
    </row>
    <row r="76" spans="1:11" ht="13.5" customHeight="1" thickBot="1">
      <c r="A76" s="8" t="s">
        <v>26</v>
      </c>
      <c r="B76" s="54"/>
      <c r="C76" s="134" t="s">
        <v>53</v>
      </c>
      <c r="D76" s="132" t="s">
        <v>24</v>
      </c>
      <c r="E76" s="143" t="s">
        <v>83</v>
      </c>
      <c r="F76" s="134" t="s">
        <v>53</v>
      </c>
      <c r="G76" s="132" t="s">
        <v>24</v>
      </c>
      <c r="H76" s="143" t="s">
        <v>83</v>
      </c>
      <c r="I76" s="134" t="s">
        <v>53</v>
      </c>
      <c r="J76" s="132" t="s">
        <v>24</v>
      </c>
      <c r="K76" s="143" t="s">
        <v>83</v>
      </c>
    </row>
    <row r="77" spans="1:11" ht="13.5" customHeight="1">
      <c r="A77" s="66" t="str">
        <f t="shared" ref="A77:A82" ca="1" si="21">A9</f>
        <v>Weatherization</v>
      </c>
      <c r="B77" s="228">
        <v>57</v>
      </c>
      <c r="C77" s="317">
        <v>59</v>
      </c>
      <c r="D77" s="318">
        <v>31</v>
      </c>
      <c r="E77" s="319">
        <v>0</v>
      </c>
      <c r="F77" s="317">
        <v>29</v>
      </c>
      <c r="G77" s="318">
        <v>50</v>
      </c>
      <c r="H77" s="319">
        <v>0</v>
      </c>
      <c r="I77" s="129">
        <f t="shared" ref="I77:I91" ca="1" si="22">INDIRECT("'"&amp;"A1"&amp;"'"&amp;"!"&amp;"J"&amp;B77)</f>
        <v>500</v>
      </c>
      <c r="J77" s="130">
        <f t="shared" ref="J77:J91" ca="1" si="23">INDIRECT("'"&amp;"A1"&amp;"'"&amp;"!"&amp;"J"&amp;B77+1)</f>
        <v>699</v>
      </c>
      <c r="K77" s="131">
        <f t="shared" ref="K77:K91" ca="1" si="24">INDIRECT("'"&amp;"A1"&amp;"'"&amp;"!"&amp;"J"&amp;B77+2)</f>
        <v>0</v>
      </c>
    </row>
    <row r="78" spans="1:11" ht="13.5" customHeight="1">
      <c r="A78" s="66" t="str">
        <f t="shared" ca="1" si="21"/>
        <v>Living Wise</v>
      </c>
      <c r="B78" s="228">
        <f>B77+30</f>
        <v>87</v>
      </c>
      <c r="C78" s="317">
        <v>250</v>
      </c>
      <c r="D78" s="318">
        <v>732</v>
      </c>
      <c r="E78" s="319">
        <v>0</v>
      </c>
      <c r="F78" s="317">
        <v>125</v>
      </c>
      <c r="G78" s="318">
        <v>1065</v>
      </c>
      <c r="H78" s="319">
        <v>0</v>
      </c>
      <c r="I78" s="129">
        <f t="shared" ca="1" si="22"/>
        <v>1200</v>
      </c>
      <c r="J78" s="130">
        <f t="shared" ca="1" si="23"/>
        <v>1199</v>
      </c>
      <c r="K78" s="131">
        <f t="shared" ca="1" si="24"/>
        <v>0</v>
      </c>
    </row>
    <row r="79" spans="1:11" ht="13.5" customHeight="1">
      <c r="A79" s="66" t="str">
        <f t="shared" ca="1" si="21"/>
        <v>CER</v>
      </c>
      <c r="B79" s="228">
        <f t="shared" ref="B79:B91" si="25">B78+30</f>
        <v>117</v>
      </c>
      <c r="C79" s="317">
        <v>1033</v>
      </c>
      <c r="D79" s="318">
        <v>2363</v>
      </c>
      <c r="E79" s="319">
        <v>0</v>
      </c>
      <c r="F79" s="317">
        <v>1033</v>
      </c>
      <c r="G79" s="318">
        <v>1060</v>
      </c>
      <c r="H79" s="319">
        <v>0</v>
      </c>
      <c r="I79" s="129">
        <f t="shared" ca="1" si="22"/>
        <v>500</v>
      </c>
      <c r="J79" s="130">
        <f t="shared" ca="1" si="23"/>
        <v>58</v>
      </c>
      <c r="K79" s="131">
        <f t="shared" ca="1" si="24"/>
        <v>0</v>
      </c>
    </row>
    <row r="80" spans="1:11" ht="13.5" customHeight="1">
      <c r="A80" s="66" t="str">
        <f t="shared" ca="1" si="21"/>
        <v>Commercial Lighting</v>
      </c>
      <c r="B80" s="228">
        <f t="shared" si="25"/>
        <v>147</v>
      </c>
      <c r="C80" s="317">
        <v>26</v>
      </c>
      <c r="D80" s="318">
        <v>8</v>
      </c>
      <c r="E80" s="319">
        <v>0</v>
      </c>
      <c r="F80" s="317">
        <v>13</v>
      </c>
      <c r="G80" s="318">
        <v>10</v>
      </c>
      <c r="H80" s="319">
        <v>0</v>
      </c>
      <c r="I80" s="129">
        <f t="shared" ca="1" si="22"/>
        <v>15</v>
      </c>
      <c r="J80" s="130">
        <f t="shared" ca="1" si="23"/>
        <v>23</v>
      </c>
      <c r="K80" s="131">
        <f t="shared" ca="1" si="24"/>
        <v>0</v>
      </c>
    </row>
    <row r="81" spans="1:11" ht="13.5" customHeight="1">
      <c r="A81" s="66" t="str">
        <f t="shared" ca="1" si="21"/>
        <v>Commercial Motors</v>
      </c>
      <c r="B81" s="228">
        <f t="shared" si="25"/>
        <v>177</v>
      </c>
      <c r="C81" s="317">
        <v>50</v>
      </c>
      <c r="D81" s="318">
        <v>16</v>
      </c>
      <c r="E81" s="319">
        <v>0</v>
      </c>
      <c r="F81" s="317">
        <v>25</v>
      </c>
      <c r="G81" s="318">
        <v>3</v>
      </c>
      <c r="H81" s="319">
        <v>0</v>
      </c>
      <c r="I81" s="129">
        <f t="shared" ca="1" si="22"/>
        <v>25</v>
      </c>
      <c r="J81" s="130">
        <f t="shared" ca="1" si="23"/>
        <v>21</v>
      </c>
      <c r="K81" s="131">
        <f t="shared" ca="1" si="24"/>
        <v>0</v>
      </c>
    </row>
    <row r="82" spans="1:11" ht="13.5" customHeight="1">
      <c r="A82" s="66" t="str">
        <f t="shared" ca="1" si="21"/>
        <v xml:space="preserve">Energy Efficiency Arkansas (Collaborative) </v>
      </c>
      <c r="B82" s="228">
        <f t="shared" si="25"/>
        <v>207</v>
      </c>
      <c r="C82" s="317">
        <v>0</v>
      </c>
      <c r="D82" s="318">
        <v>0</v>
      </c>
      <c r="E82" s="319">
        <v>0</v>
      </c>
      <c r="F82" s="317">
        <v>0</v>
      </c>
      <c r="G82" s="318">
        <v>0</v>
      </c>
      <c r="H82" s="319">
        <v>0</v>
      </c>
      <c r="I82" s="129">
        <f t="shared" ca="1" si="22"/>
        <v>1</v>
      </c>
      <c r="J82" s="130">
        <f t="shared" ca="1" si="23"/>
        <v>0</v>
      </c>
      <c r="K82" s="131">
        <f t="shared" ca="1" si="24"/>
        <v>0</v>
      </c>
    </row>
    <row r="83" spans="1:11" ht="13.5" customHeight="1" thickBot="1">
      <c r="A83" s="66" t="str">
        <f t="shared" ref="A83:A90" ca="1" si="26">A15</f>
        <v>CFL's (Quick Start ONLY)</v>
      </c>
      <c r="B83" s="228">
        <f t="shared" si="25"/>
        <v>237</v>
      </c>
      <c r="C83" s="317">
        <v>0</v>
      </c>
      <c r="D83" s="318">
        <v>0</v>
      </c>
      <c r="E83" s="319">
        <v>0</v>
      </c>
      <c r="F83" s="317">
        <v>0</v>
      </c>
      <c r="G83" s="318">
        <v>0</v>
      </c>
      <c r="H83" s="319">
        <v>0</v>
      </c>
      <c r="I83" s="129">
        <f t="shared" ca="1" si="22"/>
        <v>0</v>
      </c>
      <c r="J83" s="130">
        <f t="shared" ca="1" si="23"/>
        <v>0</v>
      </c>
      <c r="K83" s="131">
        <f t="shared" ca="1" si="24"/>
        <v>0</v>
      </c>
    </row>
    <row r="84" spans="1:11" ht="13.5" hidden="1" customHeight="1">
      <c r="A84" s="66" t="str">
        <f t="shared" ca="1" si="26"/>
        <v xml:space="preserve">AWP Weatherization </v>
      </c>
      <c r="B84" s="228">
        <f t="shared" si="25"/>
        <v>267</v>
      </c>
      <c r="C84" s="317"/>
      <c r="D84" s="318"/>
      <c r="E84" s="319"/>
      <c r="F84" s="317"/>
      <c r="G84" s="318"/>
      <c r="H84" s="319"/>
      <c r="I84" s="129">
        <f t="shared" ca="1" si="22"/>
        <v>59</v>
      </c>
      <c r="J84" s="130">
        <f t="shared" ca="1" si="23"/>
        <v>55</v>
      </c>
      <c r="K84" s="131">
        <f t="shared" ca="1" si="24"/>
        <v>0</v>
      </c>
    </row>
    <row r="85" spans="1:11" ht="13.5" hidden="1" customHeight="1">
      <c r="A85" s="66" t="str">
        <f t="shared" ca="1" si="26"/>
        <v>Program 9</v>
      </c>
      <c r="B85" s="228">
        <f t="shared" si="25"/>
        <v>297</v>
      </c>
      <c r="C85" s="317"/>
      <c r="D85" s="318"/>
      <c r="E85" s="319"/>
      <c r="F85" s="317"/>
      <c r="G85" s="318"/>
      <c r="H85" s="319"/>
      <c r="I85" s="129">
        <f t="shared" ca="1" si="22"/>
        <v>0</v>
      </c>
      <c r="J85" s="130">
        <f t="shared" ca="1" si="23"/>
        <v>0</v>
      </c>
      <c r="K85" s="131">
        <f t="shared" ca="1" si="24"/>
        <v>0</v>
      </c>
    </row>
    <row r="86" spans="1:11" ht="13.5" hidden="1" customHeight="1">
      <c r="A86" s="66" t="str">
        <f t="shared" ca="1" si="26"/>
        <v>Program 10</v>
      </c>
      <c r="B86" s="228">
        <f t="shared" si="25"/>
        <v>327</v>
      </c>
      <c r="C86" s="317"/>
      <c r="D86" s="318"/>
      <c r="E86" s="319"/>
      <c r="F86" s="317"/>
      <c r="G86" s="318"/>
      <c r="H86" s="319"/>
      <c r="I86" s="129">
        <f t="shared" ca="1" si="22"/>
        <v>0</v>
      </c>
      <c r="J86" s="130">
        <f t="shared" ca="1" si="23"/>
        <v>0</v>
      </c>
      <c r="K86" s="131">
        <f t="shared" ca="1" si="24"/>
        <v>0</v>
      </c>
    </row>
    <row r="87" spans="1:11" ht="13.5" hidden="1" customHeight="1">
      <c r="A87" s="66" t="str">
        <f t="shared" ca="1" si="26"/>
        <v>Program 11</v>
      </c>
      <c r="B87" s="228">
        <f t="shared" si="25"/>
        <v>357</v>
      </c>
      <c r="C87" s="317"/>
      <c r="D87" s="318"/>
      <c r="E87" s="319"/>
      <c r="F87" s="317"/>
      <c r="G87" s="318"/>
      <c r="H87" s="319"/>
      <c r="I87" s="129">
        <f t="shared" ca="1" si="22"/>
        <v>0</v>
      </c>
      <c r="J87" s="130">
        <f t="shared" ca="1" si="23"/>
        <v>0</v>
      </c>
      <c r="K87" s="131">
        <f t="shared" ca="1" si="24"/>
        <v>0</v>
      </c>
    </row>
    <row r="88" spans="1:11" ht="13.5" hidden="1" customHeight="1">
      <c r="A88" s="66" t="str">
        <f t="shared" ca="1" si="26"/>
        <v>Program 12</v>
      </c>
      <c r="B88" s="228">
        <f t="shared" si="25"/>
        <v>387</v>
      </c>
      <c r="C88" s="317"/>
      <c r="D88" s="318"/>
      <c r="E88" s="319"/>
      <c r="F88" s="317"/>
      <c r="G88" s="318"/>
      <c r="H88" s="319"/>
      <c r="I88" s="129">
        <f t="shared" ca="1" si="22"/>
        <v>0</v>
      </c>
      <c r="J88" s="130">
        <f t="shared" ca="1" si="23"/>
        <v>0</v>
      </c>
      <c r="K88" s="131">
        <f t="shared" ca="1" si="24"/>
        <v>0</v>
      </c>
    </row>
    <row r="89" spans="1:11" ht="13.5" hidden="1" customHeight="1">
      <c r="A89" s="66" t="str">
        <f t="shared" ca="1" si="26"/>
        <v>Program 13</v>
      </c>
      <c r="B89" s="228">
        <f t="shared" si="25"/>
        <v>417</v>
      </c>
      <c r="C89" s="317"/>
      <c r="D89" s="318"/>
      <c r="E89" s="319"/>
      <c r="F89" s="317"/>
      <c r="G89" s="318"/>
      <c r="H89" s="319"/>
      <c r="I89" s="129">
        <f t="shared" ca="1" si="22"/>
        <v>0</v>
      </c>
      <c r="J89" s="130">
        <f t="shared" ca="1" si="23"/>
        <v>0</v>
      </c>
      <c r="K89" s="131">
        <f t="shared" ca="1" si="24"/>
        <v>0</v>
      </c>
    </row>
    <row r="90" spans="1:11" ht="13.5" hidden="1" customHeight="1">
      <c r="A90" s="66" t="str">
        <f t="shared" ca="1" si="26"/>
        <v>Program 14</v>
      </c>
      <c r="B90" s="228">
        <f t="shared" si="25"/>
        <v>447</v>
      </c>
      <c r="C90" s="317"/>
      <c r="D90" s="318"/>
      <c r="E90" s="319"/>
      <c r="F90" s="317"/>
      <c r="G90" s="318"/>
      <c r="H90" s="319"/>
      <c r="I90" s="129">
        <f t="shared" ca="1" si="22"/>
        <v>0</v>
      </c>
      <c r="J90" s="130">
        <f t="shared" ca="1" si="23"/>
        <v>0</v>
      </c>
      <c r="K90" s="131">
        <f t="shared" ca="1" si="24"/>
        <v>0</v>
      </c>
    </row>
    <row r="91" spans="1:11" ht="13.5" hidden="1" customHeight="1" thickBot="1">
      <c r="A91" s="67" t="str">
        <f ca="1">A23</f>
        <v>Program 15</v>
      </c>
      <c r="B91" s="228">
        <f t="shared" si="25"/>
        <v>477</v>
      </c>
      <c r="C91" s="501"/>
      <c r="D91" s="502"/>
      <c r="E91" s="503"/>
      <c r="F91" s="501"/>
      <c r="G91" s="502"/>
      <c r="H91" s="503"/>
      <c r="I91" s="504">
        <f t="shared" ca="1" si="22"/>
        <v>0</v>
      </c>
      <c r="J91" s="505">
        <f t="shared" ca="1" si="23"/>
        <v>0</v>
      </c>
      <c r="K91" s="506">
        <f t="shared" ca="1" si="24"/>
        <v>0</v>
      </c>
    </row>
    <row r="92" spans="1:11" ht="13.5" customHeight="1" thickBot="1">
      <c r="A92" s="289" t="s">
        <v>30</v>
      </c>
      <c r="B92" s="52"/>
      <c r="C92" s="488">
        <f t="shared" ref="C92:K92" si="27">SUM(C77:C91)</f>
        <v>1418</v>
      </c>
      <c r="D92" s="507">
        <f t="shared" si="27"/>
        <v>3150</v>
      </c>
      <c r="E92" s="492">
        <f t="shared" si="27"/>
        <v>0</v>
      </c>
      <c r="F92" s="488">
        <f t="shared" si="27"/>
        <v>1225</v>
      </c>
      <c r="G92" s="507">
        <f t="shared" si="27"/>
        <v>2188</v>
      </c>
      <c r="H92" s="492">
        <f t="shared" si="27"/>
        <v>0</v>
      </c>
      <c r="I92" s="488">
        <f t="shared" ca="1" si="27"/>
        <v>2300</v>
      </c>
      <c r="J92" s="507">
        <f t="shared" ca="1" si="27"/>
        <v>2055</v>
      </c>
      <c r="K92" s="492">
        <f t="shared" ca="1" si="27"/>
        <v>0</v>
      </c>
    </row>
  </sheetData>
  <mergeCells count="19">
    <mergeCell ref="A1:J1"/>
    <mergeCell ref="A3:J4"/>
    <mergeCell ref="A28:J29"/>
    <mergeCell ref="C7:J7"/>
    <mergeCell ref="D31:E31"/>
    <mergeCell ref="F31:G31"/>
    <mergeCell ref="H31:I31"/>
    <mergeCell ref="D6:E6"/>
    <mergeCell ref="F6:G6"/>
    <mergeCell ref="H6:I6"/>
    <mergeCell ref="D51:E51"/>
    <mergeCell ref="F51:G51"/>
    <mergeCell ref="H51:I51"/>
    <mergeCell ref="C32:J32"/>
    <mergeCell ref="C75:E75"/>
    <mergeCell ref="F75:H75"/>
    <mergeCell ref="I75:K75"/>
    <mergeCell ref="A72:K73"/>
    <mergeCell ref="C52:J52"/>
  </mergeCells>
  <phoneticPr fontId="0" type="noConversion"/>
  <pageMargins left="0.75" right="0.75" top="0.75" bottom="0.75" header="0.5" footer="0.5"/>
  <pageSetup scale="61" orientation="portrait" r:id="rId1"/>
  <headerFooter alignWithMargins="0">
    <oddFooter>&amp;L&amp;A&amp;C&amp;P of &amp;N&amp;R&amp;D</oddFooter>
  </headerFooter>
  <rowBreaks count="1" manualBreakCount="1">
    <brk id="7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21"/>
    <pageSetUpPr fitToPage="1"/>
  </sheetPr>
  <dimension ref="B1:P19"/>
  <sheetViews>
    <sheetView workbookViewId="0">
      <selection activeCell="N39" sqref="N39"/>
    </sheetView>
  </sheetViews>
  <sheetFormatPr defaultRowHeight="12.75"/>
  <cols>
    <col min="1" max="1" width="1.7109375" style="51" customWidth="1"/>
    <col min="2" max="2" width="9.28515625" style="51" customWidth="1"/>
    <col min="3" max="3" width="1.7109375" style="51" customWidth="1"/>
    <col min="4" max="5" width="11" style="51" customWidth="1"/>
    <col min="6" max="6" width="7.7109375" style="51" customWidth="1"/>
    <col min="7" max="8" width="11" style="51" customWidth="1"/>
    <col min="9" max="9" width="7.7109375" style="51" customWidth="1"/>
    <col min="10" max="10" width="1.7109375" style="51" customWidth="1"/>
    <col min="11" max="12" width="11" style="51" customWidth="1"/>
    <col min="13" max="13" width="7.7109375" style="51" customWidth="1"/>
    <col min="14" max="15" width="11" style="51" customWidth="1"/>
    <col min="16" max="16" width="7.7109375" style="51" customWidth="1"/>
    <col min="17" max="16384" width="9.140625" style="51"/>
  </cols>
  <sheetData>
    <row r="1" spans="2:16" ht="5.0999999999999996" customHeight="1" thickBot="1"/>
    <row r="2" spans="2:16" ht="23.25">
      <c r="B2" s="817" t="s">
        <v>109</v>
      </c>
      <c r="C2" s="818"/>
      <c r="D2" s="818"/>
      <c r="E2" s="818"/>
      <c r="F2" s="818"/>
      <c r="G2" s="818"/>
      <c r="H2" s="818"/>
      <c r="I2" s="818"/>
      <c r="J2" s="818"/>
      <c r="K2" s="818"/>
      <c r="L2" s="818"/>
      <c r="M2" s="818"/>
      <c r="N2" s="818"/>
      <c r="O2" s="818"/>
      <c r="P2" s="819"/>
    </row>
    <row r="3" spans="2:16" ht="13.5" thickBot="1">
      <c r="B3" s="266"/>
      <c r="C3" s="267"/>
      <c r="D3" s="267"/>
      <c r="E3" s="267"/>
      <c r="F3" s="267"/>
      <c r="G3" s="267"/>
      <c r="H3" s="267"/>
      <c r="I3" s="267"/>
      <c r="J3" s="267"/>
      <c r="K3" s="267"/>
      <c r="L3" s="267"/>
      <c r="M3" s="267"/>
      <c r="N3" s="267"/>
      <c r="O3" s="267"/>
      <c r="P3" s="268"/>
    </row>
    <row r="4" spans="2:16" ht="13.5" thickBot="1">
      <c r="B4" s="831" t="s">
        <v>35</v>
      </c>
      <c r="C4" s="267"/>
      <c r="D4" s="836" t="s">
        <v>43</v>
      </c>
      <c r="E4" s="837"/>
      <c r="F4" s="837"/>
      <c r="G4" s="837"/>
      <c r="H4" s="837"/>
      <c r="I4" s="838"/>
      <c r="J4" s="267"/>
      <c r="K4" s="836" t="s">
        <v>44</v>
      </c>
      <c r="L4" s="837"/>
      <c r="M4" s="837"/>
      <c r="N4" s="837"/>
      <c r="O4" s="837"/>
      <c r="P4" s="839"/>
    </row>
    <row r="5" spans="2:16" ht="13.5" thickBot="1">
      <c r="B5" s="832"/>
      <c r="C5" s="267"/>
      <c r="D5" s="840" t="s">
        <v>45</v>
      </c>
      <c r="E5" s="841"/>
      <c r="F5" s="842"/>
      <c r="G5" s="841" t="s">
        <v>46</v>
      </c>
      <c r="H5" s="841"/>
      <c r="I5" s="842"/>
      <c r="J5" s="267"/>
      <c r="K5" s="840" t="s">
        <v>45</v>
      </c>
      <c r="L5" s="841"/>
      <c r="M5" s="842"/>
      <c r="N5" s="840" t="s">
        <v>46</v>
      </c>
      <c r="O5" s="841"/>
      <c r="P5" s="843"/>
    </row>
    <row r="6" spans="2:16" ht="13.5" thickBot="1">
      <c r="B6" s="832"/>
      <c r="C6" s="267"/>
      <c r="D6" s="820" t="s">
        <v>47</v>
      </c>
      <c r="E6" s="821"/>
      <c r="F6" s="822" t="s">
        <v>101</v>
      </c>
      <c r="G6" s="824" t="s">
        <v>47</v>
      </c>
      <c r="H6" s="825"/>
      <c r="I6" s="826" t="s">
        <v>101</v>
      </c>
      <c r="J6" s="267"/>
      <c r="K6" s="824" t="str">
        <f>IF('A1'!I4="Electric","MWh","Therms")</f>
        <v>MWh</v>
      </c>
      <c r="L6" s="825"/>
      <c r="M6" s="828" t="s">
        <v>48</v>
      </c>
      <c r="N6" s="830" t="str">
        <f>IF('A1'!I4="Electric","MWh","Therms")</f>
        <v>MWh</v>
      </c>
      <c r="O6" s="825"/>
      <c r="P6" s="834" t="s">
        <v>48</v>
      </c>
    </row>
    <row r="7" spans="2:16" ht="55.5" customHeight="1" thickBot="1">
      <c r="B7" s="833"/>
      <c r="C7" s="267"/>
      <c r="D7" s="457" t="s">
        <v>49</v>
      </c>
      <c r="E7" s="647" t="s">
        <v>50</v>
      </c>
      <c r="F7" s="823"/>
      <c r="G7" s="557" t="s">
        <v>49</v>
      </c>
      <c r="H7" s="647" t="s">
        <v>50</v>
      </c>
      <c r="I7" s="827"/>
      <c r="J7" s="267"/>
      <c r="K7" s="457" t="s">
        <v>51</v>
      </c>
      <c r="L7" s="647" t="s">
        <v>219</v>
      </c>
      <c r="M7" s="829"/>
      <c r="N7" s="622" t="s">
        <v>51</v>
      </c>
      <c r="O7" s="647" t="s">
        <v>219</v>
      </c>
      <c r="P7" s="835"/>
    </row>
    <row r="8" spans="2:16">
      <c r="B8" s="269">
        <v>2008</v>
      </c>
      <c r="C8" s="267"/>
      <c r="D8" s="320">
        <f>[9]Revenue!$N$25</f>
        <v>238611.19636664889</v>
      </c>
      <c r="E8" s="321">
        <f>'A2'!D25/1000</f>
        <v>385.14800000000002</v>
      </c>
      <c r="F8" s="641">
        <f t="shared" ref="F8:F15" si="0">IF(ISERROR(E8/D8),"-",(E8/D8))</f>
        <v>1.6141237538920149E-3</v>
      </c>
      <c r="G8" s="320">
        <f>[10]Arkansas!$L$36</f>
        <v>211344</v>
      </c>
      <c r="H8" s="321">
        <f>'A2'!E25/1000</f>
        <v>322.71899999999999</v>
      </c>
      <c r="I8" s="174">
        <f t="shared" ref="I8:I15" si="1">IF(ISERROR(H8/G8),"-",(H8/G8))</f>
        <v>1.5269844424256188E-3</v>
      </c>
      <c r="J8" s="270"/>
      <c r="K8" s="324">
        <f>'[9]MWH Sales'!$N$25</f>
        <v>4126501</v>
      </c>
      <c r="L8" s="325">
        <f>'A2'!D49/1000</f>
        <v>21398.972000000002</v>
      </c>
      <c r="M8" s="174">
        <f t="shared" ref="M8:M15" si="2">IF(ISERROR(L8/K8),"-",(L8/K8))</f>
        <v>5.1857425940282096E-3</v>
      </c>
      <c r="N8" s="644">
        <f>[10]Arkansas!$L$49</f>
        <v>3655529</v>
      </c>
      <c r="O8" s="325">
        <f>'A2'!E49/1000</f>
        <v>24401.78</v>
      </c>
      <c r="P8" s="271">
        <f t="shared" ref="P8:P15" si="3">IF(ISERROR(O8/N8),"-",(O8/N8))</f>
        <v>6.675307458920446E-3</v>
      </c>
    </row>
    <row r="9" spans="2:16">
      <c r="B9" s="269">
        <f>B8+1</f>
        <v>2009</v>
      </c>
      <c r="C9" s="267"/>
      <c r="D9" s="322">
        <f>[11]Revenue!$N$25</f>
        <v>277835.02825688507</v>
      </c>
      <c r="E9" s="323">
        <f>'A2'!F25/1000</f>
        <v>420.50400000000002</v>
      </c>
      <c r="F9" s="642">
        <f t="shared" si="0"/>
        <v>1.5135024645315919E-3</v>
      </c>
      <c r="G9" s="322">
        <f>[12]Arkansas!$L$36</f>
        <v>177311</v>
      </c>
      <c r="H9" s="323">
        <f>'A2'!G25/1000</f>
        <v>352.32400000000001</v>
      </c>
      <c r="I9" s="175">
        <f t="shared" si="1"/>
        <v>1.9870397211678914E-3</v>
      </c>
      <c r="J9" s="270"/>
      <c r="K9" s="326">
        <f>'[11]MWH Sales'!$N$25</f>
        <v>3956345</v>
      </c>
      <c r="L9" s="327">
        <f>'A2'!F49/1000</f>
        <v>42797.919000000002</v>
      </c>
      <c r="M9" s="175">
        <f t="shared" si="2"/>
        <v>1.0817539673612894E-2</v>
      </c>
      <c r="N9" s="645">
        <f>[12]Arkansas!$L$49</f>
        <v>3411789</v>
      </c>
      <c r="O9" s="327">
        <f>'A2'!G49/1000</f>
        <v>56109.004999999997</v>
      </c>
      <c r="P9" s="272">
        <f t="shared" si="3"/>
        <v>1.64456257406305E-2</v>
      </c>
    </row>
    <row r="10" spans="2:16">
      <c r="B10" s="269">
        <f t="shared" ref="B10:B15" si="4">B9+1</f>
        <v>2010</v>
      </c>
      <c r="C10" s="267"/>
      <c r="D10" s="322">
        <f>[13]Revenue!$N$25</f>
        <v>223389</v>
      </c>
      <c r="E10" s="323">
        <f>'A1'!C21/1000</f>
        <v>1364.4849999999999</v>
      </c>
      <c r="F10" s="642">
        <f t="shared" si="0"/>
        <v>6.108111858685969E-3</v>
      </c>
      <c r="G10" s="322">
        <f>[14]Arkansas!$L$36</f>
        <v>223501</v>
      </c>
      <c r="H10" s="323">
        <f>'A1'!I21/1000</f>
        <v>1278.50008</v>
      </c>
      <c r="I10" s="175">
        <f t="shared" si="1"/>
        <v>5.7203327054465083E-3</v>
      </c>
      <c r="J10" s="270"/>
      <c r="K10" s="326">
        <f>'[13]MWH Sales'!$N$25</f>
        <v>3629139</v>
      </c>
      <c r="L10" s="327">
        <f>[3]Savings!$D$20/1000</f>
        <v>2666.6309999999999</v>
      </c>
      <c r="M10" s="175">
        <f t="shared" si="2"/>
        <v>7.3478337423835236E-4</v>
      </c>
      <c r="N10" s="645">
        <f>[14]Arkansas!$L$49</f>
        <v>3783742</v>
      </c>
      <c r="O10" s="327">
        <f>[7]AR!$H$13/1000</f>
        <v>4143.0959999999995</v>
      </c>
      <c r="P10" s="272">
        <f t="shared" si="3"/>
        <v>1.0949731773466584E-3</v>
      </c>
    </row>
    <row r="11" spans="2:16" hidden="1">
      <c r="B11" s="269">
        <f t="shared" si="4"/>
        <v>2011</v>
      </c>
      <c r="C11" s="267"/>
      <c r="D11" s="322"/>
      <c r="E11" s="323"/>
      <c r="F11" s="642" t="str">
        <f t="shared" si="0"/>
        <v>-</v>
      </c>
      <c r="G11" s="322"/>
      <c r="H11" s="323"/>
      <c r="I11" s="175" t="str">
        <f t="shared" si="1"/>
        <v>-</v>
      </c>
      <c r="J11" s="270"/>
      <c r="K11" s="326"/>
      <c r="L11" s="327"/>
      <c r="M11" s="175" t="str">
        <f t="shared" si="2"/>
        <v>-</v>
      </c>
      <c r="N11" s="645"/>
      <c r="O11" s="327"/>
      <c r="P11" s="272" t="str">
        <f t="shared" si="3"/>
        <v>-</v>
      </c>
    </row>
    <row r="12" spans="2:16" hidden="1">
      <c r="B12" s="269">
        <f t="shared" si="4"/>
        <v>2012</v>
      </c>
      <c r="C12" s="267"/>
      <c r="D12" s="322"/>
      <c r="E12" s="323"/>
      <c r="F12" s="642" t="str">
        <f t="shared" si="0"/>
        <v>-</v>
      </c>
      <c r="G12" s="322"/>
      <c r="H12" s="323"/>
      <c r="I12" s="175" t="str">
        <f t="shared" si="1"/>
        <v>-</v>
      </c>
      <c r="J12" s="270"/>
      <c r="K12" s="326"/>
      <c r="L12" s="327"/>
      <c r="M12" s="175" t="str">
        <f t="shared" si="2"/>
        <v>-</v>
      </c>
      <c r="N12" s="645"/>
      <c r="O12" s="327"/>
      <c r="P12" s="272" t="str">
        <f t="shared" si="3"/>
        <v>-</v>
      </c>
    </row>
    <row r="13" spans="2:16" hidden="1">
      <c r="B13" s="269">
        <f t="shared" si="4"/>
        <v>2013</v>
      </c>
      <c r="C13" s="267"/>
      <c r="D13" s="322"/>
      <c r="E13" s="323"/>
      <c r="F13" s="642" t="str">
        <f t="shared" si="0"/>
        <v>-</v>
      </c>
      <c r="G13" s="322"/>
      <c r="H13" s="323"/>
      <c r="I13" s="175" t="str">
        <f t="shared" si="1"/>
        <v>-</v>
      </c>
      <c r="J13" s="270"/>
      <c r="K13" s="326"/>
      <c r="L13" s="327"/>
      <c r="M13" s="175" t="str">
        <f t="shared" si="2"/>
        <v>-</v>
      </c>
      <c r="N13" s="645"/>
      <c r="O13" s="327"/>
      <c r="P13" s="272" t="str">
        <f t="shared" si="3"/>
        <v>-</v>
      </c>
    </row>
    <row r="14" spans="2:16" hidden="1">
      <c r="B14" s="269">
        <f t="shared" si="4"/>
        <v>2014</v>
      </c>
      <c r="C14" s="267"/>
      <c r="D14" s="322"/>
      <c r="E14" s="323"/>
      <c r="F14" s="642" t="str">
        <f t="shared" si="0"/>
        <v>-</v>
      </c>
      <c r="G14" s="322"/>
      <c r="H14" s="323"/>
      <c r="I14" s="175" t="str">
        <f t="shared" si="1"/>
        <v>-</v>
      </c>
      <c r="J14" s="270"/>
      <c r="K14" s="326"/>
      <c r="L14" s="327"/>
      <c r="M14" s="175" t="str">
        <f t="shared" si="2"/>
        <v>-</v>
      </c>
      <c r="N14" s="645"/>
      <c r="O14" s="327"/>
      <c r="P14" s="272" t="str">
        <f t="shared" si="3"/>
        <v>-</v>
      </c>
    </row>
    <row r="15" spans="2:16" ht="13.5" hidden="1" thickBot="1">
      <c r="B15" s="454">
        <f t="shared" si="4"/>
        <v>2015</v>
      </c>
      <c r="C15" s="267"/>
      <c r="D15" s="449"/>
      <c r="E15" s="450"/>
      <c r="F15" s="643" t="str">
        <f t="shared" si="0"/>
        <v>-</v>
      </c>
      <c r="G15" s="449"/>
      <c r="H15" s="450"/>
      <c r="I15" s="451" t="str">
        <f t="shared" si="1"/>
        <v>-</v>
      </c>
      <c r="J15" s="270"/>
      <c r="K15" s="452"/>
      <c r="L15" s="453"/>
      <c r="M15" s="451" t="str">
        <f t="shared" si="2"/>
        <v>-</v>
      </c>
      <c r="N15" s="646"/>
      <c r="O15" s="453"/>
      <c r="P15" s="455" t="str">
        <f t="shared" si="3"/>
        <v>-</v>
      </c>
    </row>
    <row r="16" spans="2:16">
      <c r="B16" s="266"/>
      <c r="C16" s="267"/>
      <c r="D16" s="267"/>
      <c r="E16" s="267"/>
      <c r="F16" s="267"/>
      <c r="G16" s="267"/>
      <c r="H16" s="267"/>
      <c r="I16" s="267"/>
      <c r="J16" s="267"/>
      <c r="K16" s="267"/>
      <c r="L16" s="267"/>
      <c r="M16" s="267"/>
      <c r="N16" s="267"/>
      <c r="O16" s="267"/>
      <c r="P16" s="268"/>
    </row>
    <row r="17" spans="2:16">
      <c r="B17" s="266" t="s">
        <v>238</v>
      </c>
      <c r="C17" s="267"/>
      <c r="D17" s="267"/>
      <c r="E17" s="267"/>
      <c r="F17" s="267"/>
      <c r="G17" s="267"/>
      <c r="H17" s="267"/>
      <c r="I17" s="267"/>
      <c r="J17" s="267"/>
      <c r="K17" s="267"/>
      <c r="L17" s="267"/>
      <c r="M17" s="267"/>
      <c r="N17" s="267"/>
      <c r="O17" s="267"/>
      <c r="P17" s="268"/>
    </row>
    <row r="18" spans="2:16">
      <c r="B18" s="266"/>
      <c r="C18" s="267"/>
      <c r="D18" s="267"/>
      <c r="E18" s="267"/>
      <c r="F18" s="267"/>
      <c r="G18" s="267"/>
      <c r="H18" s="267"/>
      <c r="I18" s="267"/>
      <c r="J18" s="267"/>
      <c r="K18" s="267"/>
      <c r="L18" s="267"/>
      <c r="M18" s="267"/>
      <c r="N18" s="267"/>
      <c r="O18" s="267"/>
      <c r="P18" s="268"/>
    </row>
    <row r="19" spans="2:16" ht="13.5" thickBot="1">
      <c r="B19" s="640" t="s">
        <v>291</v>
      </c>
      <c r="C19" s="273"/>
      <c r="D19" s="273"/>
      <c r="E19" s="273"/>
      <c r="F19" s="273"/>
      <c r="G19" s="273"/>
      <c r="H19" s="273"/>
      <c r="I19" s="273"/>
      <c r="J19" s="273"/>
      <c r="K19" s="273"/>
      <c r="L19" s="273"/>
      <c r="M19" s="273"/>
      <c r="N19" s="273"/>
      <c r="O19" s="273"/>
      <c r="P19" s="456"/>
    </row>
  </sheetData>
  <mergeCells count="16">
    <mergeCell ref="B2:P2"/>
    <mergeCell ref="D6:E6"/>
    <mergeCell ref="F6:F7"/>
    <mergeCell ref="G6:H6"/>
    <mergeCell ref="I6:I7"/>
    <mergeCell ref="K6:L6"/>
    <mergeCell ref="M6:M7"/>
    <mergeCell ref="N6:O6"/>
    <mergeCell ref="B4:B7"/>
    <mergeCell ref="P6:P7"/>
    <mergeCell ref="D4:I4"/>
    <mergeCell ref="K4:P4"/>
    <mergeCell ref="D5:F5"/>
    <mergeCell ref="G5:I5"/>
    <mergeCell ref="K5:M5"/>
    <mergeCell ref="N5:P5"/>
  </mergeCells>
  <phoneticPr fontId="19" type="noConversion"/>
  <pageMargins left="0.75" right="0.75" top="0.75" bottom="0.75" header="0.5" footer="0.5"/>
  <pageSetup scale="92" orientation="landscape" r:id="rId1"/>
  <headerFooter alignWithMargins="0">
    <oddFooter>&amp;L&amp;A&amp;C&amp;P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1"/>
    <pageSetUpPr fitToPage="1"/>
  </sheetPr>
  <dimension ref="B1:N46"/>
  <sheetViews>
    <sheetView topLeftCell="A4" zoomScaleNormal="100" workbookViewId="0">
      <selection activeCell="D10" sqref="D10:E10"/>
    </sheetView>
  </sheetViews>
  <sheetFormatPr defaultRowHeight="12.75"/>
  <cols>
    <col min="1" max="1" width="0.85546875" style="50" customWidth="1"/>
    <col min="2" max="2" width="25.7109375" style="50" customWidth="1"/>
    <col min="3" max="3" width="1.7109375" style="50" customWidth="1"/>
    <col min="4" max="4" width="9.42578125" style="50" customWidth="1"/>
    <col min="5" max="14" width="7.7109375" style="50" customWidth="1"/>
    <col min="15" max="16384" width="9.140625" style="50"/>
  </cols>
  <sheetData>
    <row r="1" spans="2:14" ht="5.0999999999999996" customHeight="1"/>
    <row r="2" spans="2:14" ht="23.25">
      <c r="B2" s="862" t="str">
        <f>'A1'!C4</f>
        <v>Oklahoma Gas &amp; Electric Company</v>
      </c>
      <c r="C2" s="863"/>
      <c r="D2" s="863"/>
      <c r="E2" s="863"/>
      <c r="F2" s="863"/>
      <c r="G2" s="863"/>
      <c r="H2" s="863"/>
      <c r="I2" s="863"/>
      <c r="J2" s="863"/>
      <c r="K2" s="863"/>
      <c r="L2" s="863"/>
      <c r="M2" s="863"/>
      <c r="N2" s="864"/>
    </row>
    <row r="3" spans="2:14" ht="23.25">
      <c r="B3" s="865" t="str">
        <f>'A1'!C5</f>
        <v>07-075-TF</v>
      </c>
      <c r="C3" s="866"/>
      <c r="D3" s="866"/>
      <c r="E3" s="866"/>
      <c r="F3" s="866"/>
      <c r="G3" s="866"/>
      <c r="H3" s="866"/>
      <c r="I3" s="866"/>
      <c r="J3" s="866"/>
      <c r="K3" s="866"/>
      <c r="L3" s="866"/>
      <c r="M3" s="866"/>
      <c r="N3" s="867"/>
    </row>
    <row r="4" spans="2:14" ht="23.25">
      <c r="B4" s="868" t="s">
        <v>119</v>
      </c>
      <c r="C4" s="869"/>
      <c r="D4" s="869"/>
      <c r="E4" s="869"/>
      <c r="F4" s="869"/>
      <c r="G4" s="869"/>
      <c r="H4" s="869"/>
      <c r="I4" s="869"/>
      <c r="J4" s="869"/>
      <c r="K4" s="869"/>
      <c r="L4" s="869"/>
      <c r="M4" s="869"/>
      <c r="N4" s="870"/>
    </row>
    <row r="5" spans="2:14" s="48" customFormat="1" ht="13.5" thickBot="1">
      <c r="B5" s="236"/>
      <c r="C5" s="236"/>
      <c r="D5" s="236"/>
      <c r="E5" s="236"/>
      <c r="F5" s="236"/>
      <c r="G5" s="236"/>
      <c r="H5" s="236"/>
      <c r="I5" s="236"/>
      <c r="J5" s="236"/>
      <c r="K5" s="236"/>
      <c r="L5" s="236"/>
      <c r="M5" s="236"/>
      <c r="N5" s="236"/>
    </row>
    <row r="6" spans="2:14" s="49" customFormat="1" ht="13.5" thickBot="1">
      <c r="B6" s="871" t="s">
        <v>41</v>
      </c>
      <c r="C6" s="440"/>
      <c r="D6" s="851" t="s">
        <v>388</v>
      </c>
      <c r="E6" s="852"/>
      <c r="F6" s="852"/>
      <c r="G6" s="852"/>
      <c r="H6" s="852"/>
      <c r="I6" s="852"/>
      <c r="J6" s="852"/>
      <c r="K6" s="852"/>
      <c r="L6" s="852"/>
      <c r="M6" s="852"/>
      <c r="N6" s="853"/>
    </row>
    <row r="7" spans="2:14" s="49" customFormat="1" ht="24.75" customHeight="1">
      <c r="B7" s="860"/>
      <c r="C7" s="237"/>
      <c r="D7" s="423" t="s">
        <v>214</v>
      </c>
      <c r="E7" s="846" t="s">
        <v>173</v>
      </c>
      <c r="F7" s="858"/>
      <c r="G7" s="848" t="s">
        <v>177</v>
      </c>
      <c r="H7" s="849"/>
      <c r="I7" s="848" t="s">
        <v>392</v>
      </c>
      <c r="J7" s="849"/>
      <c r="K7" s="846" t="s">
        <v>178</v>
      </c>
      <c r="L7" s="847"/>
      <c r="M7" s="846" t="s">
        <v>390</v>
      </c>
      <c r="N7" s="857"/>
    </row>
    <row r="8" spans="2:14" ht="13.5" thickBot="1">
      <c r="B8" s="860"/>
      <c r="C8" s="238"/>
      <c r="D8" s="424" t="s">
        <v>215</v>
      </c>
      <c r="E8" s="844" t="s">
        <v>174</v>
      </c>
      <c r="F8" s="861"/>
      <c r="G8" s="844" t="s">
        <v>175</v>
      </c>
      <c r="H8" s="845"/>
      <c r="I8" s="844" t="s">
        <v>393</v>
      </c>
      <c r="J8" s="845"/>
      <c r="K8" s="844" t="s">
        <v>176</v>
      </c>
      <c r="L8" s="845"/>
      <c r="M8" s="844" t="s">
        <v>391</v>
      </c>
      <c r="N8" s="850"/>
    </row>
    <row r="9" spans="2:14" ht="30.75" customHeight="1" thickBot="1">
      <c r="B9" s="430" t="s">
        <v>26</v>
      </c>
      <c r="C9" s="238"/>
      <c r="D9" s="425" t="str">
        <f>"$ / "&amp;VLOOKUP('A1'!$I$4,'Pull-down list'!D2:F3,2)</f>
        <v>$ / kWh</v>
      </c>
      <c r="E9" s="427" t="s">
        <v>193</v>
      </c>
      <c r="F9" s="427" t="s">
        <v>42</v>
      </c>
      <c r="G9" s="427" t="s">
        <v>194</v>
      </c>
      <c r="H9" s="427" t="s">
        <v>42</v>
      </c>
      <c r="I9" s="427" t="s">
        <v>194</v>
      </c>
      <c r="J9" s="427" t="s">
        <v>42</v>
      </c>
      <c r="K9" s="427" t="s">
        <v>194</v>
      </c>
      <c r="L9" s="427" t="s">
        <v>42</v>
      </c>
      <c r="M9" s="427" t="s">
        <v>194</v>
      </c>
      <c r="N9" s="431" t="s">
        <v>42</v>
      </c>
    </row>
    <row r="10" spans="2:14">
      <c r="B10" s="710" t="str">
        <f ca="1">'A2'!A9</f>
        <v>Weatherization</v>
      </c>
      <c r="C10" s="238"/>
      <c r="D10" s="542">
        <f>[6]Weatherization!$W$35</f>
        <v>2.5693172304119473E-2</v>
      </c>
      <c r="E10" s="426">
        <f>[6]Weatherization!$J$5</f>
        <v>4686.54</v>
      </c>
      <c r="F10" s="428">
        <f>[6]Weatherization!$J$4</f>
        <v>4.0599999999999996</v>
      </c>
      <c r="G10" s="426">
        <f>[6]Weatherization!$L$5</f>
        <v>-1436.5</v>
      </c>
      <c r="H10" s="428">
        <f>[6]Weatherization!$L$4</f>
        <v>0.55000000000000004</v>
      </c>
      <c r="I10" s="426">
        <f>[6]Weatherization!$K$5</f>
        <v>6.95</v>
      </c>
      <c r="J10" s="428">
        <f>[6]Weatherization!$K$4</f>
        <v>1</v>
      </c>
      <c r="K10" s="426">
        <f>[6]Weatherization!$M$5</f>
        <v>4730.4799999999996</v>
      </c>
      <c r="L10" s="428">
        <f>[6]Weatherization!$M$4</f>
        <v>3.67</v>
      </c>
      <c r="M10" s="426">
        <f>[6]Weatherization!$N$5</f>
        <v>4836.76</v>
      </c>
      <c r="N10" s="432">
        <f>[6]Weatherization!$N$4</f>
        <v>3.73</v>
      </c>
    </row>
    <row r="11" spans="2:14">
      <c r="B11" s="711" t="str">
        <f ca="1">'A2'!A10</f>
        <v>Living Wise</v>
      </c>
      <c r="C11" s="238"/>
      <c r="D11" s="542">
        <f>'[6]Living Wise'!$W$35</f>
        <v>2.6024495663508264E-2</v>
      </c>
      <c r="E11" s="389">
        <f>'[6]Living Wise'!$J$5</f>
        <v>627.34</v>
      </c>
      <c r="F11" s="328">
        <f>'[6]Living Wise'!$J$4</f>
        <v>9.43</v>
      </c>
      <c r="G11" s="389">
        <f>'[6]Living Wise'!$L$5</f>
        <v>-132.34</v>
      </c>
      <c r="H11" s="328">
        <f>'[6]Living Wise'!$L$4</f>
        <v>0.28000000000000003</v>
      </c>
      <c r="I11" s="389">
        <f>'[6]Living Wise'!$K$5</f>
        <v>-36.799999999999997</v>
      </c>
      <c r="J11" s="328">
        <f>'[6]Living Wise'!$K$4</f>
        <v>0.59</v>
      </c>
      <c r="K11" s="389">
        <f>'[6]Living Wise'!$M$5</f>
        <v>29.52</v>
      </c>
      <c r="L11" s="328">
        <f>'[6]Living Wise'!$M$4</f>
        <v>1.83</v>
      </c>
      <c r="M11" s="389">
        <f>'[6]Living Wise'!$N$5</f>
        <v>36.24</v>
      </c>
      <c r="N11" s="434">
        <f>'[6]Living Wise'!$N$4</f>
        <v>2.02</v>
      </c>
    </row>
    <row r="12" spans="2:14">
      <c r="B12" s="711" t="str">
        <f ca="1">'A2'!A11</f>
        <v>CER</v>
      </c>
      <c r="C12" s="238"/>
      <c r="D12" s="542">
        <f>'[6]Customer Energy Report'!$W$35</f>
        <v>2.628752767511628E-2</v>
      </c>
      <c r="E12" s="389">
        <f>'[6]Customer Energy Report'!$J$5</f>
        <v>144</v>
      </c>
      <c r="F12" s="328">
        <f>'[6]Customer Energy Report'!$J$4</f>
        <v>22.94</v>
      </c>
      <c r="G12" s="389">
        <f>'[6]Customer Energy Report'!$L$5</f>
        <v>-17.809999999999999</v>
      </c>
      <c r="H12" s="328">
        <f>'[6]Customer Energy Report'!$L$4</f>
        <v>0.88</v>
      </c>
      <c r="I12" s="389">
        <f>'[6]Customer Energy Report'!$K$5</f>
        <v>120.78</v>
      </c>
      <c r="J12" s="328">
        <f>'[6]Customer Energy Report'!$K$4</f>
        <v>12.86</v>
      </c>
      <c r="K12" s="389">
        <f>'[6]Customer Energy Report'!$M$5</f>
        <v>157.63999999999999</v>
      </c>
      <c r="L12" s="328">
        <f>'[6]Customer Energy Report'!$M$4</f>
        <v>16.260000000000002</v>
      </c>
      <c r="M12" s="389">
        <f>'[6]Customer Energy Report'!$N$5</f>
        <v>167.4</v>
      </c>
      <c r="N12" s="434">
        <f>'[6]Customer Energy Report'!$N$4</f>
        <v>17.2</v>
      </c>
    </row>
    <row r="13" spans="2:14">
      <c r="B13" s="711" t="str">
        <f ca="1">'A2'!A12</f>
        <v>Commercial Lighting</v>
      </c>
      <c r="C13" s="238"/>
      <c r="D13" s="542">
        <f>'[6]Commercial Lighting'!$W$35</f>
        <v>2.6059544260473383E-2</v>
      </c>
      <c r="E13" s="709">
        <f>'[6]Commercial Lighting'!$J$5</f>
        <v>2029.35</v>
      </c>
      <c r="F13" s="328">
        <f>'[6]Commercial Lighting'!$J$4</f>
        <v>8.2899999999999991</v>
      </c>
      <c r="G13" s="709">
        <f>'[6]Commercial Lighting'!$L$5</f>
        <v>-1199.6199999999999</v>
      </c>
      <c r="H13" s="328">
        <f>'[6]Commercial Lighting'!$L$4</f>
        <v>0.45</v>
      </c>
      <c r="I13" s="709">
        <f>'[6]Commercial Lighting'!$K$5</f>
        <v>904.84</v>
      </c>
      <c r="J13" s="328">
        <f>'[6]Commercial Lighting'!$K$4</f>
        <v>11.48</v>
      </c>
      <c r="K13" s="709">
        <f>'[6]Commercial Lighting'!$M$5</f>
        <v>1018.34</v>
      </c>
      <c r="L13" s="328">
        <f>'[6]Commercial Lighting'!$M$4</f>
        <v>4.3600000000000003</v>
      </c>
      <c r="M13" s="709">
        <f>'[6]Commercial Lighting'!$N$5</f>
        <v>1101.46</v>
      </c>
      <c r="N13" s="434">
        <f>'[6]Commercial Lighting'!$N$4</f>
        <v>4.63</v>
      </c>
    </row>
    <row r="14" spans="2:14">
      <c r="B14" s="711" t="str">
        <f ca="1">'A2'!A13</f>
        <v>Commercial Motors</v>
      </c>
      <c r="C14" s="238"/>
      <c r="D14" s="542">
        <f>'[6]Commercial Motors'!$W$35</f>
        <v>2.6493977746364108E-2</v>
      </c>
      <c r="E14" s="709">
        <f>'[6]Commercial Motors'!$J$5</f>
        <v>28.47</v>
      </c>
      <c r="F14" s="328">
        <f>'[6]Commercial Motors'!$J$4</f>
        <v>1.44</v>
      </c>
      <c r="G14" s="709">
        <f>'[6]Commercial Motors'!$L$5</f>
        <v>-35.15</v>
      </c>
      <c r="H14" s="328">
        <f>'[6]Commercial Motors'!$L$4</f>
        <v>0.56999999999999995</v>
      </c>
      <c r="I14" s="709">
        <f>'[6]Commercial Motors'!$K$5</f>
        <v>34.5</v>
      </c>
      <c r="J14" s="328">
        <f>'[6]Commercial Motors'!$K$4</f>
        <v>4.04</v>
      </c>
      <c r="K14" s="709">
        <f>'[6]Commercial Motors'!$M$5</f>
        <v>0.2</v>
      </c>
      <c r="L14" s="328">
        <f>'[6]Commercial Motors'!$M$4</f>
        <v>1</v>
      </c>
      <c r="M14" s="709">
        <f>'[6]Commercial Motors'!$N$5</f>
        <v>4.41</v>
      </c>
      <c r="N14" s="434">
        <f>'[6]Commercial Motors'!$N$4</f>
        <v>1.07</v>
      </c>
    </row>
    <row r="15" spans="2:14" ht="25.5">
      <c r="B15" s="726" t="str">
        <f ca="1">'A2'!A14</f>
        <v xml:space="preserve">Energy Efficiency Arkansas (Collaborative) </v>
      </c>
      <c r="C15" s="238"/>
      <c r="D15" s="542">
        <v>2.5999999999999999E-2</v>
      </c>
      <c r="E15" s="389">
        <f>'[6]Education Cooperative'!$J$5</f>
        <v>46.98</v>
      </c>
      <c r="F15" s="328">
        <v>0</v>
      </c>
      <c r="G15" s="389">
        <f>'[6]Education Cooperative'!$L$5</f>
        <v>-46.84</v>
      </c>
      <c r="H15" s="328">
        <v>0</v>
      </c>
      <c r="I15" s="389">
        <f>'[6]Education Cooperative'!$K$5</f>
        <v>-46.84</v>
      </c>
      <c r="J15" s="328">
        <v>0</v>
      </c>
      <c r="K15" s="389">
        <f>'[6]Education Cooperative'!$M$5</f>
        <v>0</v>
      </c>
      <c r="L15" s="328">
        <v>0</v>
      </c>
      <c r="M15" s="389">
        <f>'[6]Education Cooperative'!$N$5</f>
        <v>0</v>
      </c>
      <c r="N15" s="434">
        <v>0</v>
      </c>
    </row>
    <row r="16" spans="2:14">
      <c r="B16" s="433" t="str">
        <f ca="1">'A2'!A15</f>
        <v>CFL's (Quick Start ONLY)</v>
      </c>
      <c r="C16" s="238"/>
      <c r="D16" s="542"/>
      <c r="E16" s="389"/>
      <c r="F16" s="328"/>
      <c r="G16" s="389"/>
      <c r="H16" s="328"/>
      <c r="I16" s="389"/>
      <c r="J16" s="328"/>
      <c r="K16" s="389"/>
      <c r="L16" s="328"/>
      <c r="M16" s="389"/>
      <c r="N16" s="434"/>
    </row>
    <row r="17" spans="2:14" ht="13.5" thickBot="1">
      <c r="B17" s="433" t="str">
        <f ca="1">'A2'!A16</f>
        <v xml:space="preserve">AWP Weatherization </v>
      </c>
      <c r="C17" s="238"/>
      <c r="D17" s="542"/>
      <c r="E17" s="389"/>
      <c r="F17" s="328"/>
      <c r="G17" s="389"/>
      <c r="H17" s="328"/>
      <c r="I17" s="389"/>
      <c r="J17" s="328"/>
      <c r="K17" s="389"/>
      <c r="L17" s="328"/>
      <c r="M17" s="389"/>
      <c r="N17" s="434"/>
    </row>
    <row r="18" spans="2:14" hidden="1">
      <c r="B18" s="433" t="str">
        <f ca="1">'A2'!A17</f>
        <v>Program 9</v>
      </c>
      <c r="C18" s="238"/>
      <c r="D18" s="542"/>
      <c r="E18" s="389"/>
      <c r="F18" s="328"/>
      <c r="G18" s="389"/>
      <c r="H18" s="328"/>
      <c r="I18" s="389"/>
      <c r="J18" s="328"/>
      <c r="K18" s="389"/>
      <c r="L18" s="328"/>
      <c r="M18" s="389"/>
      <c r="N18" s="434"/>
    </row>
    <row r="19" spans="2:14" hidden="1">
      <c r="B19" s="433" t="str">
        <f ca="1">'A2'!A18</f>
        <v>Program 10</v>
      </c>
      <c r="C19" s="238"/>
      <c r="D19" s="542"/>
      <c r="E19" s="389"/>
      <c r="F19" s="328"/>
      <c r="G19" s="389"/>
      <c r="H19" s="328"/>
      <c r="I19" s="389"/>
      <c r="J19" s="328"/>
      <c r="K19" s="389"/>
      <c r="L19" s="328"/>
      <c r="M19" s="389"/>
      <c r="N19" s="434"/>
    </row>
    <row r="20" spans="2:14" hidden="1">
      <c r="B20" s="433" t="str">
        <f ca="1">'A2'!A19</f>
        <v>Program 11</v>
      </c>
      <c r="C20" s="238"/>
      <c r="D20" s="542"/>
      <c r="E20" s="389"/>
      <c r="F20" s="328"/>
      <c r="G20" s="389"/>
      <c r="H20" s="328"/>
      <c r="I20" s="389"/>
      <c r="J20" s="328"/>
      <c r="K20" s="389"/>
      <c r="L20" s="328"/>
      <c r="M20" s="389"/>
      <c r="N20" s="434"/>
    </row>
    <row r="21" spans="2:14" hidden="1">
      <c r="B21" s="433" t="str">
        <f ca="1">'A2'!A20</f>
        <v>Program 12</v>
      </c>
      <c r="C21" s="238"/>
      <c r="D21" s="542"/>
      <c r="E21" s="389"/>
      <c r="F21" s="328"/>
      <c r="G21" s="389"/>
      <c r="H21" s="328"/>
      <c r="I21" s="389"/>
      <c r="J21" s="328"/>
      <c r="K21" s="389"/>
      <c r="L21" s="328"/>
      <c r="M21" s="389"/>
      <c r="N21" s="434"/>
    </row>
    <row r="22" spans="2:14" hidden="1">
      <c r="B22" s="433" t="str">
        <f ca="1">'A2'!A21</f>
        <v>Program 13</v>
      </c>
      <c r="C22" s="238"/>
      <c r="D22" s="542"/>
      <c r="E22" s="389"/>
      <c r="F22" s="328"/>
      <c r="G22" s="389"/>
      <c r="H22" s="328"/>
      <c r="I22" s="389"/>
      <c r="J22" s="328"/>
      <c r="K22" s="389"/>
      <c r="L22" s="328"/>
      <c r="M22" s="389"/>
      <c r="N22" s="434"/>
    </row>
    <row r="23" spans="2:14" hidden="1">
      <c r="B23" s="433" t="str">
        <f ca="1">'A2'!A22</f>
        <v>Program 14</v>
      </c>
      <c r="C23" s="238"/>
      <c r="D23" s="542"/>
      <c r="E23" s="389"/>
      <c r="F23" s="328"/>
      <c r="G23" s="389"/>
      <c r="H23" s="328"/>
      <c r="I23" s="389"/>
      <c r="J23" s="328"/>
      <c r="K23" s="389"/>
      <c r="L23" s="328"/>
      <c r="M23" s="389"/>
      <c r="N23" s="434"/>
    </row>
    <row r="24" spans="2:14" ht="13.5" hidden="1" thickBot="1">
      <c r="B24" s="435" t="str">
        <f ca="1">'A2'!A23</f>
        <v>Program 15</v>
      </c>
      <c r="C24" s="238"/>
      <c r="D24" s="542"/>
      <c r="E24" s="473"/>
      <c r="F24" s="474"/>
      <c r="G24" s="473"/>
      <c r="H24" s="474"/>
      <c r="I24" s="473"/>
      <c r="J24" s="474"/>
      <c r="K24" s="473"/>
      <c r="L24" s="474"/>
      <c r="M24" s="473"/>
      <c r="N24" s="475"/>
    </row>
    <row r="25" spans="2:14" ht="13.5" thickBot="1">
      <c r="B25" s="478" t="s">
        <v>222</v>
      </c>
      <c r="C25" s="238"/>
      <c r="D25" s="543">
        <v>2.5999999999999999E-2</v>
      </c>
      <c r="E25" s="476">
        <f>'[6]Benefit Cost Bene'!$B$16</f>
        <v>7562.6900000000005</v>
      </c>
      <c r="F25" s="477">
        <f>'[6]Benefit Cost Bene'!$B$15</f>
        <v>4.8628314289946424</v>
      </c>
      <c r="G25" s="476">
        <f>'[6]Benefit Cost Bene'!$D$16</f>
        <v>-2868.25</v>
      </c>
      <c r="H25" s="477">
        <f>'[6]Benefit Cost Bene'!$D$15</f>
        <v>0.50909246502075223</v>
      </c>
      <c r="I25" s="476">
        <f>'[6]Benefit Cost Bene'!$C$16</f>
        <v>983.44</v>
      </c>
      <c r="J25" s="477">
        <f>'[6]Benefit Cost Bene'!$C$15</f>
        <v>1.4939278575231285</v>
      </c>
      <c r="K25" s="476">
        <f>'[6]Benefit Cost Bene'!$E$16</f>
        <v>5936.1999999999989</v>
      </c>
      <c r="L25" s="477">
        <f>'[6]Benefit Cost Bene'!$E$15</f>
        <v>3.7202074913163412</v>
      </c>
      <c r="M25" s="476">
        <f>'[6]Benefit Cost Bene'!$F$16</f>
        <v>6146.27</v>
      </c>
      <c r="N25" s="479">
        <f>'[6]Benefit Cost Bene'!$F$15</f>
        <v>3.8164700814751678</v>
      </c>
    </row>
    <row r="26" spans="2:14" ht="13.5" thickBot="1">
      <c r="B26" s="436"/>
      <c r="C26" s="238"/>
      <c r="D26" s="429"/>
      <c r="E26" s="429"/>
      <c r="F26" s="429"/>
      <c r="G26" s="429"/>
      <c r="H26" s="429"/>
      <c r="I26" s="429"/>
      <c r="J26" s="429"/>
      <c r="K26" s="429"/>
      <c r="L26" s="429"/>
      <c r="M26" s="429"/>
      <c r="N26" s="437"/>
    </row>
    <row r="27" spans="2:14" ht="13.5" thickBot="1">
      <c r="B27" s="859" t="s">
        <v>41</v>
      </c>
      <c r="C27" s="237"/>
      <c r="D27" s="854" t="s">
        <v>389</v>
      </c>
      <c r="E27" s="855"/>
      <c r="F27" s="855"/>
      <c r="G27" s="855"/>
      <c r="H27" s="855"/>
      <c r="I27" s="855"/>
      <c r="J27" s="855"/>
      <c r="K27" s="855"/>
      <c r="L27" s="855"/>
      <c r="M27" s="855"/>
      <c r="N27" s="856"/>
    </row>
    <row r="28" spans="2:14" ht="24.75" customHeight="1">
      <c r="B28" s="860"/>
      <c r="C28" s="237"/>
      <c r="D28" s="423" t="s">
        <v>214</v>
      </c>
      <c r="E28" s="846" t="s">
        <v>173</v>
      </c>
      <c r="F28" s="858"/>
      <c r="G28" s="848" t="s">
        <v>177</v>
      </c>
      <c r="H28" s="849"/>
      <c r="I28" s="848" t="s">
        <v>392</v>
      </c>
      <c r="J28" s="849"/>
      <c r="K28" s="846" t="s">
        <v>178</v>
      </c>
      <c r="L28" s="847"/>
      <c r="M28" s="846" t="s">
        <v>390</v>
      </c>
      <c r="N28" s="857"/>
    </row>
    <row r="29" spans="2:14" ht="12.75" customHeight="1" thickBot="1">
      <c r="B29" s="860"/>
      <c r="C29" s="238"/>
      <c r="D29" s="424" t="s">
        <v>215</v>
      </c>
      <c r="E29" s="844" t="s">
        <v>174</v>
      </c>
      <c r="F29" s="861"/>
      <c r="G29" s="844" t="s">
        <v>175</v>
      </c>
      <c r="H29" s="845"/>
      <c r="I29" s="844" t="s">
        <v>393</v>
      </c>
      <c r="J29" s="845"/>
      <c r="K29" s="844" t="s">
        <v>176</v>
      </c>
      <c r="L29" s="845"/>
      <c r="M29" s="844" t="s">
        <v>391</v>
      </c>
      <c r="N29" s="850"/>
    </row>
    <row r="30" spans="2:14" ht="30.75" customHeight="1" thickBot="1">
      <c r="B30" s="430" t="s">
        <v>26</v>
      </c>
      <c r="C30" s="238"/>
      <c r="D30" s="425" t="str">
        <f>"$ / "&amp;VLOOKUP('A1'!$I$4,'Pull-down list'!D2:F3,2)</f>
        <v>$ / kWh</v>
      </c>
      <c r="E30" s="427" t="s">
        <v>193</v>
      </c>
      <c r="F30" s="427" t="s">
        <v>42</v>
      </c>
      <c r="G30" s="427" t="s">
        <v>194</v>
      </c>
      <c r="H30" s="427" t="s">
        <v>42</v>
      </c>
      <c r="I30" s="427" t="s">
        <v>194</v>
      </c>
      <c r="J30" s="427" t="s">
        <v>42</v>
      </c>
      <c r="K30" s="427" t="s">
        <v>194</v>
      </c>
      <c r="L30" s="427" t="s">
        <v>42</v>
      </c>
      <c r="M30" s="427" t="s">
        <v>194</v>
      </c>
      <c r="N30" s="431" t="s">
        <v>42</v>
      </c>
    </row>
    <row r="31" spans="2:14">
      <c r="B31" s="438" t="str">
        <f t="shared" ref="B31:B36" ca="1" si="0">B10</f>
        <v>Weatherization</v>
      </c>
      <c r="C31" s="238"/>
      <c r="D31" s="542">
        <f>D10</f>
        <v>2.5693172304119473E-2</v>
      </c>
      <c r="E31" s="389">
        <f t="shared" ref="E31:N31" si="1">E10</f>
        <v>4686.54</v>
      </c>
      <c r="F31" s="328">
        <f t="shared" si="1"/>
        <v>4.0599999999999996</v>
      </c>
      <c r="G31" s="389">
        <f t="shared" si="1"/>
        <v>-1436.5</v>
      </c>
      <c r="H31" s="328">
        <f t="shared" si="1"/>
        <v>0.55000000000000004</v>
      </c>
      <c r="I31" s="389">
        <f t="shared" si="1"/>
        <v>6.95</v>
      </c>
      <c r="J31" s="328">
        <f t="shared" si="1"/>
        <v>1</v>
      </c>
      <c r="K31" s="389">
        <f t="shared" si="1"/>
        <v>4730.4799999999996</v>
      </c>
      <c r="L31" s="328">
        <f t="shared" si="1"/>
        <v>3.67</v>
      </c>
      <c r="M31" s="389">
        <f t="shared" si="1"/>
        <v>4836.76</v>
      </c>
      <c r="N31" s="434">
        <f t="shared" si="1"/>
        <v>3.73</v>
      </c>
    </row>
    <row r="32" spans="2:14">
      <c r="B32" s="433" t="str">
        <f t="shared" ca="1" si="0"/>
        <v>Living Wise</v>
      </c>
      <c r="C32" s="238"/>
      <c r="D32" s="542">
        <f t="shared" ref="D32:N36" si="2">D11</f>
        <v>2.6024495663508264E-2</v>
      </c>
      <c r="E32" s="389">
        <f t="shared" si="2"/>
        <v>627.34</v>
      </c>
      <c r="F32" s="328">
        <f t="shared" si="2"/>
        <v>9.43</v>
      </c>
      <c r="G32" s="389">
        <f t="shared" si="2"/>
        <v>-132.34</v>
      </c>
      <c r="H32" s="328">
        <f t="shared" si="2"/>
        <v>0.28000000000000003</v>
      </c>
      <c r="I32" s="389">
        <f t="shared" si="2"/>
        <v>-36.799999999999997</v>
      </c>
      <c r="J32" s="328">
        <f t="shared" si="2"/>
        <v>0.59</v>
      </c>
      <c r="K32" s="389">
        <f t="shared" si="2"/>
        <v>29.52</v>
      </c>
      <c r="L32" s="328">
        <f t="shared" si="2"/>
        <v>1.83</v>
      </c>
      <c r="M32" s="389">
        <f t="shared" si="2"/>
        <v>36.24</v>
      </c>
      <c r="N32" s="434">
        <f t="shared" si="2"/>
        <v>2.02</v>
      </c>
    </row>
    <row r="33" spans="2:14">
      <c r="B33" s="433" t="str">
        <f t="shared" ca="1" si="0"/>
        <v>CER</v>
      </c>
      <c r="C33" s="238"/>
      <c r="D33" s="542">
        <f t="shared" si="2"/>
        <v>2.628752767511628E-2</v>
      </c>
      <c r="E33" s="389">
        <f t="shared" si="2"/>
        <v>144</v>
      </c>
      <c r="F33" s="328">
        <f t="shared" si="2"/>
        <v>22.94</v>
      </c>
      <c r="G33" s="389">
        <f t="shared" si="2"/>
        <v>-17.809999999999999</v>
      </c>
      <c r="H33" s="328">
        <f t="shared" si="2"/>
        <v>0.88</v>
      </c>
      <c r="I33" s="389">
        <f t="shared" si="2"/>
        <v>120.78</v>
      </c>
      <c r="J33" s="328">
        <f t="shared" si="2"/>
        <v>12.86</v>
      </c>
      <c r="K33" s="389">
        <f t="shared" si="2"/>
        <v>157.63999999999999</v>
      </c>
      <c r="L33" s="328">
        <f t="shared" si="2"/>
        <v>16.260000000000002</v>
      </c>
      <c r="M33" s="389">
        <f t="shared" si="2"/>
        <v>167.4</v>
      </c>
      <c r="N33" s="434">
        <f t="shared" si="2"/>
        <v>17.2</v>
      </c>
    </row>
    <row r="34" spans="2:14">
      <c r="B34" s="433" t="str">
        <f t="shared" ca="1" si="0"/>
        <v>Commercial Lighting</v>
      </c>
      <c r="C34" s="238"/>
      <c r="D34" s="542">
        <f t="shared" si="2"/>
        <v>2.6059544260473383E-2</v>
      </c>
      <c r="E34" s="389">
        <f t="shared" si="2"/>
        <v>2029.35</v>
      </c>
      <c r="F34" s="328">
        <f t="shared" si="2"/>
        <v>8.2899999999999991</v>
      </c>
      <c r="G34" s="389">
        <f t="shared" si="2"/>
        <v>-1199.6199999999999</v>
      </c>
      <c r="H34" s="328">
        <f t="shared" si="2"/>
        <v>0.45</v>
      </c>
      <c r="I34" s="389">
        <f t="shared" si="2"/>
        <v>904.84</v>
      </c>
      <c r="J34" s="328">
        <f t="shared" si="2"/>
        <v>11.48</v>
      </c>
      <c r="K34" s="389">
        <f t="shared" si="2"/>
        <v>1018.34</v>
      </c>
      <c r="L34" s="328">
        <f t="shared" si="2"/>
        <v>4.3600000000000003</v>
      </c>
      <c r="M34" s="389">
        <f t="shared" si="2"/>
        <v>1101.46</v>
      </c>
      <c r="N34" s="434">
        <f t="shared" si="2"/>
        <v>4.63</v>
      </c>
    </row>
    <row r="35" spans="2:14">
      <c r="B35" s="433" t="str">
        <f t="shared" ca="1" si="0"/>
        <v>Commercial Motors</v>
      </c>
      <c r="C35" s="238"/>
      <c r="D35" s="542">
        <f t="shared" si="2"/>
        <v>2.6493977746364108E-2</v>
      </c>
      <c r="E35" s="389">
        <f t="shared" si="2"/>
        <v>28.47</v>
      </c>
      <c r="F35" s="328">
        <f t="shared" si="2"/>
        <v>1.44</v>
      </c>
      <c r="G35" s="389">
        <f t="shared" si="2"/>
        <v>-35.15</v>
      </c>
      <c r="H35" s="328">
        <f t="shared" si="2"/>
        <v>0.56999999999999995</v>
      </c>
      <c r="I35" s="389">
        <f t="shared" si="2"/>
        <v>34.5</v>
      </c>
      <c r="J35" s="328">
        <f t="shared" si="2"/>
        <v>4.04</v>
      </c>
      <c r="K35" s="389">
        <f t="shared" si="2"/>
        <v>0.2</v>
      </c>
      <c r="L35" s="328">
        <f t="shared" si="2"/>
        <v>1</v>
      </c>
      <c r="M35" s="389">
        <f t="shared" si="2"/>
        <v>4.41</v>
      </c>
      <c r="N35" s="434">
        <f t="shared" si="2"/>
        <v>1.07</v>
      </c>
    </row>
    <row r="36" spans="2:14" ht="25.5">
      <c r="B36" s="725" t="str">
        <f t="shared" ca="1" si="0"/>
        <v xml:space="preserve">Energy Efficiency Arkansas (Collaborative) </v>
      </c>
      <c r="C36" s="238"/>
      <c r="D36" s="542">
        <f t="shared" si="2"/>
        <v>2.5999999999999999E-2</v>
      </c>
      <c r="E36" s="389">
        <f t="shared" si="2"/>
        <v>46.98</v>
      </c>
      <c r="F36" s="328">
        <f t="shared" si="2"/>
        <v>0</v>
      </c>
      <c r="G36" s="389">
        <f t="shared" si="2"/>
        <v>-46.84</v>
      </c>
      <c r="H36" s="328">
        <f t="shared" si="2"/>
        <v>0</v>
      </c>
      <c r="I36" s="389">
        <f t="shared" si="2"/>
        <v>-46.84</v>
      </c>
      <c r="J36" s="328">
        <f t="shared" si="2"/>
        <v>0</v>
      </c>
      <c r="K36" s="389">
        <f t="shared" si="2"/>
        <v>0</v>
      </c>
      <c r="L36" s="328">
        <f t="shared" si="2"/>
        <v>0</v>
      </c>
      <c r="M36" s="389">
        <f t="shared" si="2"/>
        <v>0</v>
      </c>
      <c r="N36" s="434">
        <f t="shared" si="2"/>
        <v>0</v>
      </c>
    </row>
    <row r="37" spans="2:14">
      <c r="B37" s="433" t="str">
        <f t="shared" ref="B37:B44" ca="1" si="3">B16</f>
        <v>CFL's (Quick Start ONLY)</v>
      </c>
      <c r="C37" s="238"/>
      <c r="D37" s="542"/>
      <c r="E37" s="389"/>
      <c r="F37" s="328"/>
      <c r="G37" s="389"/>
      <c r="H37" s="328"/>
      <c r="I37" s="389"/>
      <c r="J37" s="328"/>
      <c r="K37" s="389"/>
      <c r="L37" s="328"/>
      <c r="M37" s="389"/>
      <c r="N37" s="434"/>
    </row>
    <row r="38" spans="2:14" ht="13.5" thickBot="1">
      <c r="B38" s="433" t="str">
        <f t="shared" ca="1" si="3"/>
        <v xml:space="preserve">AWP Weatherization </v>
      </c>
      <c r="C38" s="238"/>
      <c r="D38" s="542"/>
      <c r="E38" s="389"/>
      <c r="F38" s="328"/>
      <c r="G38" s="389"/>
      <c r="H38" s="328"/>
      <c r="I38" s="389"/>
      <c r="J38" s="328"/>
      <c r="K38" s="389"/>
      <c r="L38" s="328"/>
      <c r="M38" s="389"/>
      <c r="N38" s="434"/>
    </row>
    <row r="39" spans="2:14" hidden="1">
      <c r="B39" s="433" t="str">
        <f t="shared" ca="1" si="3"/>
        <v>Program 9</v>
      </c>
      <c r="C39" s="238"/>
      <c r="D39" s="542"/>
      <c r="E39" s="389"/>
      <c r="F39" s="328"/>
      <c r="G39" s="389"/>
      <c r="H39" s="328"/>
      <c r="I39" s="389"/>
      <c r="J39" s="328"/>
      <c r="K39" s="389"/>
      <c r="L39" s="328"/>
      <c r="M39" s="389"/>
      <c r="N39" s="434"/>
    </row>
    <row r="40" spans="2:14" hidden="1">
      <c r="B40" s="433" t="str">
        <f t="shared" ca="1" si="3"/>
        <v>Program 10</v>
      </c>
      <c r="C40" s="238"/>
      <c r="D40" s="542"/>
      <c r="E40" s="389"/>
      <c r="F40" s="328"/>
      <c r="G40" s="389"/>
      <c r="H40" s="328"/>
      <c r="I40" s="389"/>
      <c r="J40" s="328"/>
      <c r="K40" s="389"/>
      <c r="L40" s="328"/>
      <c r="M40" s="389"/>
      <c r="N40" s="434"/>
    </row>
    <row r="41" spans="2:14" hidden="1">
      <c r="B41" s="433" t="str">
        <f t="shared" ca="1" si="3"/>
        <v>Program 11</v>
      </c>
      <c r="C41" s="238"/>
      <c r="D41" s="542"/>
      <c r="E41" s="389"/>
      <c r="F41" s="328"/>
      <c r="G41" s="389"/>
      <c r="H41" s="328"/>
      <c r="I41" s="389"/>
      <c r="J41" s="328"/>
      <c r="K41" s="389"/>
      <c r="L41" s="328"/>
      <c r="M41" s="389"/>
      <c r="N41" s="434"/>
    </row>
    <row r="42" spans="2:14" hidden="1">
      <c r="B42" s="433" t="str">
        <f t="shared" ca="1" si="3"/>
        <v>Program 12</v>
      </c>
      <c r="C42" s="238"/>
      <c r="D42" s="542"/>
      <c r="E42" s="389"/>
      <c r="F42" s="328"/>
      <c r="G42" s="389"/>
      <c r="H42" s="328"/>
      <c r="I42" s="389"/>
      <c r="J42" s="328"/>
      <c r="K42" s="389"/>
      <c r="L42" s="328"/>
      <c r="M42" s="389"/>
      <c r="N42" s="434"/>
    </row>
    <row r="43" spans="2:14" hidden="1">
      <c r="B43" s="433" t="str">
        <f t="shared" ca="1" si="3"/>
        <v>Program 13</v>
      </c>
      <c r="C43" s="238"/>
      <c r="D43" s="542"/>
      <c r="E43" s="389"/>
      <c r="F43" s="328"/>
      <c r="G43" s="389"/>
      <c r="H43" s="328"/>
      <c r="I43" s="389"/>
      <c r="J43" s="328"/>
      <c r="K43" s="389"/>
      <c r="L43" s="328"/>
      <c r="M43" s="389"/>
      <c r="N43" s="434"/>
    </row>
    <row r="44" spans="2:14" ht="13.5" hidden="1" thickBot="1">
      <c r="B44" s="433" t="str">
        <f t="shared" ca="1" si="3"/>
        <v>Program 14</v>
      </c>
      <c r="C44" s="238"/>
      <c r="D44" s="542"/>
      <c r="E44" s="389"/>
      <c r="F44" s="328"/>
      <c r="G44" s="389"/>
      <c r="H44" s="328"/>
      <c r="I44" s="389"/>
      <c r="J44" s="328"/>
      <c r="K44" s="389"/>
      <c r="L44" s="328"/>
      <c r="M44" s="389"/>
      <c r="N44" s="434"/>
    </row>
    <row r="45" spans="2:14" ht="13.5" thickBot="1">
      <c r="B45" s="480" t="s">
        <v>222</v>
      </c>
      <c r="C45" s="439"/>
      <c r="D45" s="543">
        <f>D25</f>
        <v>2.5999999999999999E-2</v>
      </c>
      <c r="E45" s="481">
        <f t="shared" ref="E45:N45" si="4">E25</f>
        <v>7562.6900000000005</v>
      </c>
      <c r="F45" s="482">
        <f t="shared" si="4"/>
        <v>4.8628314289946424</v>
      </c>
      <c r="G45" s="481">
        <f t="shared" si="4"/>
        <v>-2868.25</v>
      </c>
      <c r="H45" s="482">
        <f t="shared" si="4"/>
        <v>0.50909246502075223</v>
      </c>
      <c r="I45" s="481">
        <f t="shared" si="4"/>
        <v>983.44</v>
      </c>
      <c r="J45" s="482">
        <f t="shared" si="4"/>
        <v>1.4939278575231285</v>
      </c>
      <c r="K45" s="481">
        <f t="shared" si="4"/>
        <v>5936.1999999999989</v>
      </c>
      <c r="L45" s="482">
        <f t="shared" si="4"/>
        <v>3.7202074913163412</v>
      </c>
      <c r="M45" s="481">
        <f t="shared" si="4"/>
        <v>6146.27</v>
      </c>
      <c r="N45" s="483">
        <f t="shared" si="4"/>
        <v>3.8164700814751678</v>
      </c>
    </row>
    <row r="46" spans="2:14">
      <c r="B46" s="238"/>
      <c r="C46" s="238"/>
      <c r="D46" s="238"/>
      <c r="E46" s="238"/>
      <c r="F46" s="238"/>
      <c r="G46" s="238"/>
      <c r="H46" s="238"/>
      <c r="I46" s="238"/>
      <c r="J46" s="238"/>
      <c r="K46" s="238"/>
      <c r="L46" s="238"/>
      <c r="M46" s="238"/>
      <c r="N46" s="238"/>
    </row>
  </sheetData>
  <mergeCells count="27">
    <mergeCell ref="B27:B29"/>
    <mergeCell ref="E29:F29"/>
    <mergeCell ref="B2:N2"/>
    <mergeCell ref="B3:N3"/>
    <mergeCell ref="B4:N4"/>
    <mergeCell ref="G8:H8"/>
    <mergeCell ref="I8:J8"/>
    <mergeCell ref="K8:L8"/>
    <mergeCell ref="E7:F7"/>
    <mergeCell ref="G7:H7"/>
    <mergeCell ref="I7:J7"/>
    <mergeCell ref="K7:L7"/>
    <mergeCell ref="B6:B8"/>
    <mergeCell ref="E8:F8"/>
    <mergeCell ref="M29:N29"/>
    <mergeCell ref="M7:N7"/>
    <mergeCell ref="M8:N8"/>
    <mergeCell ref="D6:N6"/>
    <mergeCell ref="G28:H28"/>
    <mergeCell ref="D27:N27"/>
    <mergeCell ref="M28:N28"/>
    <mergeCell ref="E28:F28"/>
    <mergeCell ref="K29:L29"/>
    <mergeCell ref="K28:L28"/>
    <mergeCell ref="G29:H29"/>
    <mergeCell ref="I29:J29"/>
    <mergeCell ref="I28:J28"/>
  </mergeCells>
  <phoneticPr fontId="19" type="noConversion"/>
  <pageMargins left="0.75" right="0.75" top="0.75" bottom="0.75" header="0.5" footer="0.5"/>
  <pageSetup orientation="landscape" r:id="rId1"/>
  <headerFooter alignWithMargins="0">
    <oddFooter>&amp;L&amp;A&amp;C&amp;P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1"/>
    <pageSetUpPr fitToPage="1"/>
  </sheetPr>
  <dimension ref="B1:L39"/>
  <sheetViews>
    <sheetView workbookViewId="0">
      <selection activeCell="B4" sqref="B4:L38"/>
    </sheetView>
  </sheetViews>
  <sheetFormatPr defaultColWidth="10.28515625" defaultRowHeight="14.25"/>
  <cols>
    <col min="1" max="1" width="0.85546875" style="146" customWidth="1"/>
    <col min="2" max="2" width="32.28515625" style="147" bestFit="1" customWidth="1"/>
    <col min="3" max="3" width="1.85546875" style="147" customWidth="1"/>
    <col min="4" max="5" width="10.85546875" style="147" bestFit="1" customWidth="1"/>
    <col min="6" max="7" width="12" style="147" bestFit="1" customWidth="1"/>
    <col min="8" max="8" width="1.85546875" style="147" customWidth="1"/>
    <col min="9" max="9" width="10.42578125" style="147" bestFit="1" customWidth="1"/>
    <col min="10" max="10" width="10.85546875" style="147" bestFit="1" customWidth="1"/>
    <col min="11" max="12" width="12" style="147" bestFit="1" customWidth="1"/>
    <col min="13" max="16384" width="10.28515625" style="146"/>
  </cols>
  <sheetData>
    <row r="1" spans="2:12" ht="5.0999999999999996" customHeight="1"/>
    <row r="2" spans="2:12" ht="26.25">
      <c r="B2" s="876" t="s">
        <v>98</v>
      </c>
      <c r="C2" s="877"/>
      <c r="D2" s="877"/>
      <c r="E2" s="877"/>
      <c r="F2" s="877"/>
      <c r="G2" s="877"/>
      <c r="H2" s="877"/>
      <c r="I2" s="877"/>
      <c r="J2" s="877"/>
      <c r="K2" s="877"/>
      <c r="L2" s="878"/>
    </row>
    <row r="3" spans="2:12" ht="15" thickBot="1">
      <c r="B3" s="284"/>
      <c r="C3" s="245"/>
      <c r="D3" s="245"/>
      <c r="E3" s="245"/>
      <c r="F3" s="245"/>
      <c r="G3" s="245"/>
      <c r="H3" s="245"/>
      <c r="I3" s="245"/>
      <c r="J3" s="245"/>
      <c r="K3" s="245"/>
      <c r="L3" s="245"/>
    </row>
    <row r="4" spans="2:12" ht="15">
      <c r="B4" s="283" t="s">
        <v>0</v>
      </c>
      <c r="C4" s="285"/>
      <c r="D4" s="872" t="s">
        <v>97</v>
      </c>
      <c r="E4" s="873"/>
      <c r="F4" s="873"/>
      <c r="G4" s="874"/>
      <c r="H4" s="285"/>
      <c r="I4" s="872" t="s">
        <v>98</v>
      </c>
      <c r="J4" s="873"/>
      <c r="K4" s="873"/>
      <c r="L4" s="875"/>
    </row>
    <row r="5" spans="2:12" ht="15">
      <c r="B5" s="252"/>
      <c r="C5" s="245"/>
      <c r="D5" s="879" t="s">
        <v>195</v>
      </c>
      <c r="E5" s="880"/>
      <c r="F5" s="880"/>
      <c r="G5" s="881"/>
      <c r="H5" s="245"/>
      <c r="I5" s="879" t="s">
        <v>195</v>
      </c>
      <c r="J5" s="880"/>
      <c r="K5" s="880"/>
      <c r="L5" s="882"/>
    </row>
    <row r="6" spans="2:12" ht="15">
      <c r="B6" s="247"/>
      <c r="C6" s="245"/>
      <c r="D6" s="148">
        <f>E6-1</f>
        <v>2008</v>
      </c>
      <c r="E6" s="149">
        <f>F6-1</f>
        <v>2009</v>
      </c>
      <c r="F6" s="149">
        <f>'A1'!C3</f>
        <v>2010</v>
      </c>
      <c r="G6" s="150" t="s">
        <v>30</v>
      </c>
      <c r="H6" s="245"/>
      <c r="I6" s="148">
        <f>D6</f>
        <v>2008</v>
      </c>
      <c r="J6" s="149">
        <f>E6</f>
        <v>2009</v>
      </c>
      <c r="K6" s="149">
        <f>F6</f>
        <v>2010</v>
      </c>
      <c r="L6" s="248" t="s">
        <v>30</v>
      </c>
    </row>
    <row r="7" spans="2:12">
      <c r="B7" s="249"/>
      <c r="C7" s="245"/>
      <c r="D7" s="250"/>
      <c r="E7" s="250"/>
      <c r="F7" s="250"/>
      <c r="G7" s="250"/>
      <c r="H7" s="250"/>
      <c r="I7" s="250"/>
      <c r="J7" s="250"/>
      <c r="K7" s="250"/>
      <c r="L7" s="251"/>
    </row>
    <row r="8" spans="2:12" ht="15">
      <c r="B8" s="246" t="str">
        <f ca="1">'A2'!A9</f>
        <v>Weatherization</v>
      </c>
      <c r="C8" s="245"/>
      <c r="D8" s="176"/>
      <c r="E8" s="151"/>
      <c r="F8" s="151"/>
      <c r="G8" s="152"/>
      <c r="H8" s="153"/>
      <c r="I8" s="397"/>
      <c r="J8" s="398"/>
      <c r="K8" s="398"/>
      <c r="L8" s="399"/>
    </row>
    <row r="9" spans="2:12" ht="15">
      <c r="B9" s="252"/>
      <c r="C9" s="245"/>
      <c r="D9" s="177"/>
      <c r="E9" s="153"/>
      <c r="F9" s="153"/>
      <c r="G9" s="154"/>
      <c r="H9" s="153"/>
      <c r="I9" s="400"/>
      <c r="J9" s="401"/>
      <c r="K9" s="401"/>
      <c r="L9" s="402"/>
    </row>
    <row r="10" spans="2:12" ht="15">
      <c r="B10" s="252" t="str">
        <f ca="1">'A2'!A10</f>
        <v>Living Wise</v>
      </c>
      <c r="C10" s="245"/>
      <c r="D10" s="177"/>
      <c r="E10" s="153"/>
      <c r="F10" s="153"/>
      <c r="G10" s="154"/>
      <c r="H10" s="153"/>
      <c r="I10" s="400"/>
      <c r="J10" s="401"/>
      <c r="K10" s="401"/>
      <c r="L10" s="402"/>
    </row>
    <row r="11" spans="2:12" ht="15">
      <c r="B11" s="252"/>
      <c r="C11" s="245"/>
      <c r="D11" s="177"/>
      <c r="E11" s="153"/>
      <c r="F11" s="153"/>
      <c r="G11" s="154"/>
      <c r="H11" s="153"/>
      <c r="I11" s="400"/>
      <c r="J11" s="401"/>
      <c r="K11" s="401"/>
      <c r="L11" s="402"/>
    </row>
    <row r="12" spans="2:12" ht="15">
      <c r="B12" s="253" t="str">
        <f ca="1">'A2'!A11</f>
        <v>CER</v>
      </c>
      <c r="C12" s="245"/>
      <c r="D12" s="177"/>
      <c r="E12" s="153"/>
      <c r="F12" s="153"/>
      <c r="G12" s="154"/>
      <c r="H12" s="153"/>
      <c r="I12" s="400"/>
      <c r="J12" s="401"/>
      <c r="K12" s="401"/>
      <c r="L12" s="402"/>
    </row>
    <row r="13" spans="2:12" ht="15">
      <c r="B13" s="252"/>
      <c r="C13" s="245"/>
      <c r="D13" s="177"/>
      <c r="E13" s="153"/>
      <c r="F13" s="153"/>
      <c r="G13" s="154"/>
      <c r="H13" s="153"/>
      <c r="I13" s="400"/>
      <c r="J13" s="401"/>
      <c r="K13" s="401"/>
      <c r="L13" s="402"/>
    </row>
    <row r="14" spans="2:12" ht="15">
      <c r="B14" s="252" t="str">
        <f ca="1">'A2'!A12</f>
        <v>Commercial Lighting</v>
      </c>
      <c r="C14" s="245"/>
      <c r="D14" s="177"/>
      <c r="E14" s="153"/>
      <c r="F14" s="153"/>
      <c r="G14" s="154"/>
      <c r="H14" s="153"/>
      <c r="I14" s="400"/>
      <c r="J14" s="401"/>
      <c r="K14" s="401"/>
      <c r="L14" s="402"/>
    </row>
    <row r="15" spans="2:12" ht="15">
      <c r="B15" s="252"/>
      <c r="C15" s="245"/>
      <c r="D15" s="177"/>
      <c r="E15" s="153"/>
      <c r="F15" s="153"/>
      <c r="G15" s="154"/>
      <c r="H15" s="153"/>
      <c r="I15" s="400"/>
      <c r="J15" s="401"/>
      <c r="K15" s="401"/>
      <c r="L15" s="402"/>
    </row>
    <row r="16" spans="2:12" ht="15">
      <c r="B16" s="252" t="str">
        <f ca="1">'A2'!A13</f>
        <v>Commercial Motors</v>
      </c>
      <c r="C16" s="245"/>
      <c r="D16" s="177"/>
      <c r="E16" s="153"/>
      <c r="F16" s="153"/>
      <c r="G16" s="154"/>
      <c r="H16" s="153"/>
      <c r="I16" s="400"/>
      <c r="J16" s="401"/>
      <c r="K16" s="401"/>
      <c r="L16" s="402"/>
    </row>
    <row r="17" spans="2:12" ht="15">
      <c r="B17" s="252"/>
      <c r="C17" s="245"/>
      <c r="D17" s="177"/>
      <c r="E17" s="153"/>
      <c r="F17" s="153"/>
      <c r="G17" s="154"/>
      <c r="H17" s="153"/>
      <c r="I17" s="400"/>
      <c r="J17" s="401"/>
      <c r="K17" s="401"/>
      <c r="L17" s="402"/>
    </row>
    <row r="18" spans="2:12" ht="30">
      <c r="B18" s="718" t="str">
        <f ca="1">'A2'!A14</f>
        <v xml:space="preserve">Energy Efficiency Arkansas (Collaborative) </v>
      </c>
      <c r="C18" s="245"/>
      <c r="D18" s="177"/>
      <c r="E18" s="153"/>
      <c r="F18" s="153"/>
      <c r="G18" s="154"/>
      <c r="H18" s="153"/>
      <c r="I18" s="400"/>
      <c r="J18" s="401"/>
      <c r="K18" s="401"/>
      <c r="L18" s="402"/>
    </row>
    <row r="19" spans="2:12" ht="15">
      <c r="B19" s="252"/>
      <c r="C19" s="245"/>
      <c r="D19" s="177"/>
      <c r="E19" s="153"/>
      <c r="F19" s="153"/>
      <c r="G19" s="154"/>
      <c r="H19" s="153"/>
      <c r="I19" s="400"/>
      <c r="J19" s="401"/>
      <c r="K19" s="401"/>
      <c r="L19" s="402"/>
    </row>
    <row r="20" spans="2:12" ht="15">
      <c r="B20" s="252" t="str">
        <f ca="1">'A2'!A15</f>
        <v>CFL's (Quick Start ONLY)</v>
      </c>
      <c r="C20" s="245"/>
      <c r="D20" s="442" t="s">
        <v>220</v>
      </c>
      <c r="E20" s="443"/>
      <c r="F20" s="443"/>
      <c r="G20" s="444"/>
      <c r="H20" s="153"/>
      <c r="I20" s="442" t="s">
        <v>220</v>
      </c>
      <c r="J20" s="445"/>
      <c r="K20" s="445"/>
      <c r="L20" s="446"/>
    </row>
    <row r="21" spans="2:12" ht="15">
      <c r="B21" s="252"/>
      <c r="C21" s="245"/>
      <c r="D21" s="177"/>
      <c r="E21" s="153"/>
      <c r="F21" s="153"/>
      <c r="G21" s="154"/>
      <c r="H21" s="153"/>
      <c r="I21" s="400"/>
      <c r="J21" s="401"/>
      <c r="K21" s="401"/>
      <c r="L21" s="402"/>
    </row>
    <row r="22" spans="2:12" ht="15">
      <c r="B22" s="252" t="str">
        <f ca="1">'A2'!A16</f>
        <v xml:space="preserve">AWP Weatherization </v>
      </c>
      <c r="C22" s="245"/>
      <c r="D22" s="177"/>
      <c r="E22" s="153"/>
      <c r="F22" s="153"/>
      <c r="G22" s="154"/>
      <c r="H22" s="153"/>
      <c r="I22" s="400"/>
      <c r="J22" s="401"/>
      <c r="K22" s="401"/>
      <c r="L22" s="402"/>
    </row>
    <row r="23" spans="2:12" ht="15" hidden="1">
      <c r="B23" s="252"/>
      <c r="C23" s="245"/>
      <c r="D23" s="177"/>
      <c r="E23" s="153"/>
      <c r="F23" s="153"/>
      <c r="G23" s="154"/>
      <c r="H23" s="153"/>
      <c r="I23" s="400"/>
      <c r="J23" s="401"/>
      <c r="K23" s="401"/>
      <c r="L23" s="402"/>
    </row>
    <row r="24" spans="2:12" ht="15" hidden="1">
      <c r="B24" s="252" t="str">
        <f ca="1">'A2'!A17</f>
        <v>Program 9</v>
      </c>
      <c r="C24" s="245"/>
      <c r="D24" s="177"/>
      <c r="E24" s="153"/>
      <c r="F24" s="153"/>
      <c r="G24" s="154"/>
      <c r="H24" s="153"/>
      <c r="I24" s="400"/>
      <c r="J24" s="401"/>
      <c r="K24" s="401"/>
      <c r="L24" s="402"/>
    </row>
    <row r="25" spans="2:12" ht="15" hidden="1">
      <c r="B25" s="252"/>
      <c r="C25" s="245"/>
      <c r="D25" s="177"/>
      <c r="E25" s="153"/>
      <c r="F25" s="153"/>
      <c r="G25" s="154"/>
      <c r="H25" s="153"/>
      <c r="I25" s="400"/>
      <c r="J25" s="401"/>
      <c r="K25" s="401"/>
      <c r="L25" s="402"/>
    </row>
    <row r="26" spans="2:12" ht="15" hidden="1">
      <c r="B26" s="252" t="str">
        <f ca="1">'A2'!A18</f>
        <v>Program 10</v>
      </c>
      <c r="C26" s="245"/>
      <c r="D26" s="177"/>
      <c r="E26" s="153"/>
      <c r="F26" s="153"/>
      <c r="G26" s="154"/>
      <c r="H26" s="153"/>
      <c r="I26" s="400"/>
      <c r="J26" s="401"/>
      <c r="K26" s="401"/>
      <c r="L26" s="402"/>
    </row>
    <row r="27" spans="2:12" ht="15" hidden="1">
      <c r="B27" s="252"/>
      <c r="C27" s="245"/>
      <c r="D27" s="177"/>
      <c r="E27" s="153"/>
      <c r="F27" s="153"/>
      <c r="G27" s="154"/>
      <c r="H27" s="153"/>
      <c r="I27" s="400"/>
      <c r="J27" s="401"/>
      <c r="K27" s="401"/>
      <c r="L27" s="402"/>
    </row>
    <row r="28" spans="2:12" ht="15" hidden="1">
      <c r="B28" s="252" t="str">
        <f ca="1">'A2'!A19</f>
        <v>Program 11</v>
      </c>
      <c r="C28" s="245"/>
      <c r="D28" s="177"/>
      <c r="E28" s="153"/>
      <c r="F28" s="153"/>
      <c r="G28" s="154"/>
      <c r="H28" s="153"/>
      <c r="I28" s="400"/>
      <c r="J28" s="401"/>
      <c r="K28" s="401"/>
      <c r="L28" s="402"/>
    </row>
    <row r="29" spans="2:12" ht="15" hidden="1">
      <c r="B29" s="252"/>
      <c r="C29" s="245"/>
      <c r="D29" s="177"/>
      <c r="E29" s="153"/>
      <c r="F29" s="153"/>
      <c r="G29" s="154"/>
      <c r="H29" s="153"/>
      <c r="I29" s="400"/>
      <c r="J29" s="401"/>
      <c r="K29" s="401"/>
      <c r="L29" s="402"/>
    </row>
    <row r="30" spans="2:12" ht="15" hidden="1">
      <c r="B30" s="252" t="str">
        <f ca="1">'A2'!A20</f>
        <v>Program 12</v>
      </c>
      <c r="C30" s="245"/>
      <c r="D30" s="177"/>
      <c r="E30" s="153"/>
      <c r="F30" s="153"/>
      <c r="G30" s="154"/>
      <c r="H30" s="153"/>
      <c r="I30" s="400"/>
      <c r="J30" s="401"/>
      <c r="K30" s="401"/>
      <c r="L30" s="402"/>
    </row>
    <row r="31" spans="2:12" ht="15" hidden="1">
      <c r="B31" s="252"/>
      <c r="C31" s="245"/>
      <c r="D31" s="177"/>
      <c r="E31" s="153"/>
      <c r="F31" s="153"/>
      <c r="G31" s="154"/>
      <c r="H31" s="153"/>
      <c r="I31" s="400"/>
      <c r="J31" s="401"/>
      <c r="K31" s="401"/>
      <c r="L31" s="402"/>
    </row>
    <row r="32" spans="2:12" ht="15" hidden="1">
      <c r="B32" s="252" t="str">
        <f ca="1">'A2'!A21</f>
        <v>Program 13</v>
      </c>
      <c r="C32" s="245"/>
      <c r="D32" s="177"/>
      <c r="E32" s="153"/>
      <c r="F32" s="153"/>
      <c r="G32" s="154"/>
      <c r="H32" s="153"/>
      <c r="I32" s="400"/>
      <c r="J32" s="401"/>
      <c r="K32" s="401"/>
      <c r="L32" s="402"/>
    </row>
    <row r="33" spans="2:12" ht="15" hidden="1">
      <c r="B33" s="252"/>
      <c r="C33" s="245"/>
      <c r="D33" s="177"/>
      <c r="E33" s="153"/>
      <c r="F33" s="153"/>
      <c r="G33" s="154"/>
      <c r="H33" s="153"/>
      <c r="I33" s="400"/>
      <c r="J33" s="401"/>
      <c r="K33" s="401"/>
      <c r="L33" s="402"/>
    </row>
    <row r="34" spans="2:12" ht="15" hidden="1">
      <c r="B34" s="252" t="str">
        <f ca="1">'A2'!A22</f>
        <v>Program 14</v>
      </c>
      <c r="C34" s="245"/>
      <c r="D34" s="177"/>
      <c r="E34" s="153"/>
      <c r="F34" s="153"/>
      <c r="G34" s="154"/>
      <c r="H34" s="153"/>
      <c r="I34" s="400"/>
      <c r="J34" s="401"/>
      <c r="K34" s="401"/>
      <c r="L34" s="402"/>
    </row>
    <row r="35" spans="2:12" ht="15" hidden="1">
      <c r="B35" s="252"/>
      <c r="C35" s="245"/>
      <c r="D35" s="177"/>
      <c r="E35" s="153"/>
      <c r="F35" s="153"/>
      <c r="G35" s="154"/>
      <c r="H35" s="153"/>
      <c r="I35" s="400"/>
      <c r="J35" s="401"/>
      <c r="K35" s="401"/>
      <c r="L35" s="402"/>
    </row>
    <row r="36" spans="2:12" ht="15" hidden="1">
      <c r="B36" s="247" t="str">
        <f ca="1">'A2'!A23</f>
        <v>Program 15</v>
      </c>
      <c r="C36" s="245"/>
      <c r="D36" s="178"/>
      <c r="E36" s="155"/>
      <c r="F36" s="155"/>
      <c r="G36" s="156"/>
      <c r="H36" s="153"/>
      <c r="I36" s="403"/>
      <c r="J36" s="404"/>
      <c r="K36" s="404"/>
      <c r="L36" s="405"/>
    </row>
    <row r="37" spans="2:12">
      <c r="B37" s="290"/>
      <c r="C37" s="245"/>
      <c r="D37" s="291"/>
      <c r="E37" s="291"/>
      <c r="F37" s="291"/>
      <c r="G37" s="291"/>
      <c r="H37" s="250"/>
      <c r="I37" s="291"/>
      <c r="J37" s="291"/>
      <c r="K37" s="291"/>
      <c r="L37" s="292"/>
    </row>
    <row r="38" spans="2:12" ht="15.75" thickBot="1">
      <c r="B38" s="256" t="s">
        <v>99</v>
      </c>
      <c r="C38" s="257"/>
      <c r="D38" s="258">
        <f>SUM(D8:D36)</f>
        <v>0</v>
      </c>
      <c r="E38" s="259">
        <f>SUM(E8:E36)</f>
        <v>0</v>
      </c>
      <c r="F38" s="259">
        <f>SUM(F8:F36)</f>
        <v>0</v>
      </c>
      <c r="G38" s="260">
        <f>SUM(D38:F38)</f>
        <v>0</v>
      </c>
      <c r="H38" s="257"/>
      <c r="I38" s="258">
        <f>SUM(I8:I36)</f>
        <v>0</v>
      </c>
      <c r="J38" s="259">
        <f>SUM(J8:J36)</f>
        <v>0</v>
      </c>
      <c r="K38" s="259">
        <f>SUM(K8:K36)</f>
        <v>0</v>
      </c>
      <c r="L38" s="261">
        <f>SUM(I38:K38)</f>
        <v>0</v>
      </c>
    </row>
    <row r="39" spans="2:12">
      <c r="B39" s="157"/>
    </row>
  </sheetData>
  <mergeCells count="5">
    <mergeCell ref="D4:G4"/>
    <mergeCell ref="I4:L4"/>
    <mergeCell ref="B2:L2"/>
    <mergeCell ref="D5:G5"/>
    <mergeCell ref="I5:L5"/>
  </mergeCells>
  <phoneticPr fontId="3" type="noConversion"/>
  <printOptions horizontalCentered="1" verticalCentered="1"/>
  <pageMargins left="0" right="0" top="0.75" bottom="0.75" header="0.3" footer="0.3"/>
  <pageSetup orientation="landscape" r:id="rId1"/>
  <headerFooter alignWithMargins="0">
    <oddFooter>&amp;L&amp;8&amp;A&amp;C&amp;8&amp;P of &amp;N&amp;R&amp;8&amp;D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50"/>
    <pageSetUpPr fitToPage="1"/>
  </sheetPr>
  <dimension ref="B1:J25"/>
  <sheetViews>
    <sheetView workbookViewId="0">
      <selection activeCell="B2" sqref="B2:J25"/>
    </sheetView>
  </sheetViews>
  <sheetFormatPr defaultRowHeight="12.75"/>
  <cols>
    <col min="1" max="1" width="1.7109375" style="13" customWidth="1"/>
    <col min="2" max="2" width="25.7109375" style="13" customWidth="1"/>
    <col min="3" max="3" width="12.7109375" style="13" customWidth="1"/>
    <col min="4" max="5" width="25.7109375" style="13" customWidth="1"/>
    <col min="6" max="6" width="1.7109375" style="13" customWidth="1"/>
    <col min="7" max="7" width="9.5703125" style="13" customWidth="1"/>
    <col min="8" max="8" width="9.42578125" style="13" customWidth="1"/>
    <col min="9" max="9" width="1.7109375" style="13" customWidth="1"/>
    <col min="10" max="10" width="9.28515625" style="13" customWidth="1"/>
    <col min="11" max="16384" width="9.140625" style="13"/>
  </cols>
  <sheetData>
    <row r="1" spans="2:10" ht="5.0999999999999996" customHeight="1" thickBot="1"/>
    <row r="2" spans="2:10" ht="23.25">
      <c r="B2" s="885" t="str">
        <f>'A1'!C4</f>
        <v>Oklahoma Gas &amp; Electric Company</v>
      </c>
      <c r="C2" s="886"/>
      <c r="D2" s="886"/>
      <c r="E2" s="886"/>
      <c r="F2" s="886"/>
      <c r="G2" s="886"/>
      <c r="H2" s="886"/>
      <c r="I2" s="886"/>
      <c r="J2" s="887"/>
    </row>
    <row r="3" spans="2:10" ht="23.25">
      <c r="B3" s="888" t="str">
        <f>'A1'!C5</f>
        <v>07-075-TF</v>
      </c>
      <c r="C3" s="889"/>
      <c r="D3" s="889"/>
      <c r="E3" s="889"/>
      <c r="F3" s="889"/>
      <c r="G3" s="889"/>
      <c r="H3" s="889"/>
      <c r="I3" s="889"/>
      <c r="J3" s="890"/>
    </row>
    <row r="4" spans="2:10" ht="23.25">
      <c r="B4" s="883" t="s">
        <v>235</v>
      </c>
      <c r="C4" s="809"/>
      <c r="D4" s="809"/>
      <c r="E4" s="809"/>
      <c r="F4" s="809"/>
      <c r="G4" s="809"/>
      <c r="H4" s="809"/>
      <c r="I4" s="809"/>
      <c r="J4" s="884"/>
    </row>
    <row r="5" spans="2:10" ht="13.5" thickBot="1">
      <c r="B5" s="200"/>
      <c r="C5" s="22"/>
      <c r="D5" s="22"/>
      <c r="E5" s="22"/>
      <c r="F5" s="22"/>
      <c r="G5" s="22"/>
      <c r="H5" s="22"/>
      <c r="I5" s="22"/>
      <c r="J5" s="201"/>
    </row>
    <row r="6" spans="2:10" ht="13.5" thickBot="1">
      <c r="B6" s="202"/>
      <c r="C6" s="2"/>
      <c r="D6" s="2"/>
      <c r="E6" s="2"/>
      <c r="F6" s="23"/>
      <c r="G6" s="738">
        <f>'A1'!C3</f>
        <v>2010</v>
      </c>
      <c r="H6" s="740"/>
      <c r="I6" s="22"/>
      <c r="J6" s="203" t="s">
        <v>25</v>
      </c>
    </row>
    <row r="7" spans="2:10">
      <c r="B7" s="212" t="s">
        <v>26</v>
      </c>
      <c r="C7" s="106" t="s">
        <v>26</v>
      </c>
      <c r="D7" s="106"/>
      <c r="E7" s="5"/>
      <c r="F7" s="23"/>
      <c r="G7" s="59" t="s">
        <v>12</v>
      </c>
      <c r="H7" s="107" t="s">
        <v>24</v>
      </c>
      <c r="I7" s="22"/>
      <c r="J7" s="239" t="s">
        <v>71</v>
      </c>
    </row>
    <row r="8" spans="2:10" ht="13.5" thickBot="1">
      <c r="B8" s="205" t="s">
        <v>74</v>
      </c>
      <c r="C8" s="8" t="s">
        <v>73</v>
      </c>
      <c r="D8" s="8" t="s">
        <v>1</v>
      </c>
      <c r="E8" s="8" t="s">
        <v>2</v>
      </c>
      <c r="F8" s="23"/>
      <c r="G8" s="280" t="s">
        <v>195</v>
      </c>
      <c r="H8" s="281" t="s">
        <v>195</v>
      </c>
      <c r="I8" s="22"/>
      <c r="J8" s="240" t="s">
        <v>72</v>
      </c>
    </row>
    <row r="9" spans="2:10">
      <c r="B9" s="206" t="str">
        <f ca="1">INDIRECT("'"&amp;"A1"&amp;"'"&amp;"!"&amp;"C"&amp;F9)</f>
        <v>Weatherization</v>
      </c>
      <c r="C9" s="106">
        <f ca="1">INDIRECT("'"&amp;"A1"&amp;"'"&amp;"!"&amp;"C"&amp;F9+3)</f>
        <v>1</v>
      </c>
      <c r="D9" s="108" t="str">
        <f ca="1">INDIRECT("'"&amp;"A1"&amp;"'"&amp;"!"&amp;"C"&amp;F9+1)</f>
        <v>Weatherization</v>
      </c>
      <c r="E9" s="108" t="str">
        <f ca="1">INDIRECT("'"&amp;"A1"&amp;"'"&amp;"!"&amp;"C"&amp;F9+2)</f>
        <v>Res (All)</v>
      </c>
      <c r="F9" s="235">
        <v>36</v>
      </c>
      <c r="G9" s="90">
        <f ca="1">INDIRECT("'"&amp;"A1"&amp;"'"&amp;"!"&amp;"C"&amp;F9+15)</f>
        <v>1129500</v>
      </c>
      <c r="H9" s="91">
        <f ca="1">INDIRECT("'"&amp;"A1"&amp;"'"&amp;"!"&amp;"I"&amp;F9+15)</f>
        <v>1103808.42</v>
      </c>
      <c r="I9" s="199"/>
      <c r="J9" s="241">
        <f t="shared" ref="J9:J24" ca="1" si="0">IF(ISERROR(H9/G9),"-",(H9/G9))</f>
        <v>0.97725402390438243</v>
      </c>
    </row>
    <row r="10" spans="2:10">
      <c r="B10" s="206" t="str">
        <f t="shared" ref="B10:B22" ca="1" si="1">INDIRECT("'"&amp;"A1"&amp;"'"&amp;"!"&amp;"C"&amp;F10)</f>
        <v>Living Wise</v>
      </c>
      <c r="C10" s="106">
        <f t="shared" ref="C10:C22" ca="1" si="2">INDIRECT("'"&amp;"A1"&amp;"'"&amp;"!"&amp;"C"&amp;F10+3)</f>
        <v>2</v>
      </c>
      <c r="D10" s="108" t="str">
        <f t="shared" ref="D10:D22" ca="1" si="3">INDIRECT("'"&amp;"A1"&amp;"'"&amp;"!"&amp;"C"&amp;F10+1)</f>
        <v>Public Education</v>
      </c>
      <c r="E10" s="108" t="str">
        <f t="shared" ref="E10:E22" ca="1" si="4">INDIRECT("'"&amp;"A1"&amp;"'"&amp;"!"&amp;"C"&amp;F10+2)</f>
        <v>Res (All)</v>
      </c>
      <c r="F10" s="235">
        <f>30+F9</f>
        <v>66</v>
      </c>
      <c r="G10" s="90">
        <f t="shared" ref="G10:G23" ca="1" si="5">INDIRECT("'"&amp;"A1"&amp;"'"&amp;"!"&amp;"C"&amp;F10+15)</f>
        <v>61000</v>
      </c>
      <c r="H10" s="91">
        <f t="shared" ref="H10:H23" ca="1" si="6">INDIRECT("'"&amp;"A1"&amp;"'"&amp;"!"&amp;"I"&amp;F10+15)</f>
        <v>49404.77</v>
      </c>
      <c r="I10" s="199"/>
      <c r="J10" s="242">
        <f t="shared" ca="1" si="0"/>
        <v>0.8099142622950819</v>
      </c>
    </row>
    <row r="11" spans="2:10">
      <c r="B11" s="206" t="str">
        <f t="shared" ca="1" si="1"/>
        <v>CER</v>
      </c>
      <c r="C11" s="106">
        <f t="shared" ca="1" si="2"/>
        <v>3</v>
      </c>
      <c r="D11" s="108" t="str">
        <f t="shared" ca="1" si="3"/>
        <v>Energy Audit or Evaluation</v>
      </c>
      <c r="E11" s="108" t="str">
        <f t="shared" ca="1" si="4"/>
        <v>Res (All)</v>
      </c>
      <c r="F11" s="235">
        <f t="shared" ref="F11:F24" si="7">30+F10</f>
        <v>96</v>
      </c>
      <c r="G11" s="90">
        <f t="shared" ca="1" si="5"/>
        <v>7000</v>
      </c>
      <c r="H11" s="91">
        <f t="shared" ca="1" si="6"/>
        <v>60.87</v>
      </c>
      <c r="I11" s="199"/>
      <c r="J11" s="242">
        <f t="shared" ca="1" si="0"/>
        <v>8.6957142857142858E-3</v>
      </c>
    </row>
    <row r="12" spans="2:10">
      <c r="B12" s="206" t="str">
        <f t="shared" ca="1" si="1"/>
        <v>Commercial Lighting</v>
      </c>
      <c r="C12" s="106">
        <f t="shared" ca="1" si="2"/>
        <v>4</v>
      </c>
      <c r="D12" s="108" t="str">
        <f t="shared" ca="1" si="3"/>
        <v>Lighting</v>
      </c>
      <c r="E12" s="108" t="str">
        <f t="shared" ca="1" si="4"/>
        <v>Small C&amp;I (All)</v>
      </c>
      <c r="F12" s="235">
        <f t="shared" si="7"/>
        <v>126</v>
      </c>
      <c r="G12" s="90">
        <f t="shared" ca="1" si="5"/>
        <v>55440</v>
      </c>
      <c r="H12" s="91">
        <f t="shared" ca="1" si="6"/>
        <v>38104.33</v>
      </c>
      <c r="I12" s="199"/>
      <c r="J12" s="242">
        <f t="shared" ca="1" si="0"/>
        <v>0.68730753968253966</v>
      </c>
    </row>
    <row r="13" spans="2:10">
      <c r="B13" s="206" t="str">
        <f t="shared" ca="1" si="1"/>
        <v>Commercial Motors</v>
      </c>
      <c r="C13" s="106">
        <f t="shared" ca="1" si="2"/>
        <v>5</v>
      </c>
      <c r="D13" s="108" t="str">
        <f t="shared" ca="1" si="3"/>
        <v>Motors, Pumps</v>
      </c>
      <c r="E13" s="108" t="str">
        <f t="shared" ca="1" si="4"/>
        <v>Large C&amp;I (All)</v>
      </c>
      <c r="F13" s="235">
        <f t="shared" si="7"/>
        <v>156</v>
      </c>
      <c r="G13" s="90">
        <f t="shared" ca="1" si="5"/>
        <v>7500</v>
      </c>
      <c r="H13" s="91">
        <f t="shared" ca="1" si="6"/>
        <v>11243.93</v>
      </c>
      <c r="I13" s="199"/>
      <c r="J13" s="242">
        <f t="shared" ca="1" si="0"/>
        <v>1.4991906666666668</v>
      </c>
    </row>
    <row r="14" spans="2:10">
      <c r="B14" s="206" t="str">
        <f t="shared" ca="1" si="1"/>
        <v xml:space="preserve">Energy Efficiency Arkansas (Collaborative) </v>
      </c>
      <c r="C14" s="106">
        <f t="shared" ca="1" si="2"/>
        <v>6</v>
      </c>
      <c r="D14" s="108" t="str">
        <f t="shared" ca="1" si="3"/>
        <v>Public Education</v>
      </c>
      <c r="E14" s="108" t="str">
        <f t="shared" ca="1" si="4"/>
        <v>Res (All)</v>
      </c>
      <c r="F14" s="235">
        <f t="shared" si="7"/>
        <v>186</v>
      </c>
      <c r="G14" s="90">
        <f t="shared" ca="1" si="5"/>
        <v>32045</v>
      </c>
      <c r="H14" s="91">
        <f t="shared" ca="1" si="6"/>
        <v>30950.14</v>
      </c>
      <c r="I14" s="199"/>
      <c r="J14" s="242">
        <f t="shared" ca="1" si="0"/>
        <v>0.96583367139959431</v>
      </c>
    </row>
    <row r="15" spans="2:10">
      <c r="B15" s="206" t="str">
        <f t="shared" ca="1" si="1"/>
        <v>CFL's (Quick Start ONLY)</v>
      </c>
      <c r="C15" s="106">
        <f t="shared" ca="1" si="2"/>
        <v>7</v>
      </c>
      <c r="D15" s="108" t="str">
        <f t="shared" ca="1" si="3"/>
        <v>Lighting</v>
      </c>
      <c r="E15" s="108" t="str">
        <f t="shared" ca="1" si="4"/>
        <v>Res (All)</v>
      </c>
      <c r="F15" s="235">
        <f t="shared" si="7"/>
        <v>216</v>
      </c>
      <c r="G15" s="90">
        <f t="shared" ca="1" si="5"/>
        <v>0</v>
      </c>
      <c r="H15" s="91">
        <f t="shared" ca="1" si="6"/>
        <v>0</v>
      </c>
      <c r="I15" s="199"/>
      <c r="J15" s="242" t="str">
        <f t="shared" ca="1" si="0"/>
        <v>-</v>
      </c>
    </row>
    <row r="16" spans="2:10">
      <c r="B16" s="206" t="str">
        <f t="shared" ca="1" si="1"/>
        <v xml:space="preserve">AWP Weatherization </v>
      </c>
      <c r="C16" s="106">
        <f t="shared" ca="1" si="2"/>
        <v>8</v>
      </c>
      <c r="D16" s="108" t="str">
        <f t="shared" ca="1" si="3"/>
        <v>Weatherization</v>
      </c>
      <c r="E16" s="108" t="str">
        <f t="shared" ca="1" si="4"/>
        <v>Res (Single-Family)</v>
      </c>
      <c r="F16" s="235">
        <f t="shared" si="7"/>
        <v>246</v>
      </c>
      <c r="G16" s="90">
        <f t="shared" ca="1" si="5"/>
        <v>72000</v>
      </c>
      <c r="H16" s="91">
        <f t="shared" ca="1" si="6"/>
        <v>44927.62</v>
      </c>
      <c r="I16" s="199"/>
      <c r="J16" s="242">
        <f t="shared" ca="1" si="0"/>
        <v>0.6239947222222223</v>
      </c>
    </row>
    <row r="17" spans="2:10" hidden="1">
      <c r="B17" s="206" t="str">
        <f t="shared" ca="1" si="1"/>
        <v>Program 9</v>
      </c>
      <c r="C17" s="106">
        <f t="shared" ca="1" si="2"/>
        <v>9</v>
      </c>
      <c r="D17" s="108" t="str">
        <f t="shared" ca="1" si="3"/>
        <v>N/A</v>
      </c>
      <c r="E17" s="108" t="str">
        <f t="shared" ca="1" si="4"/>
        <v>N/A</v>
      </c>
      <c r="F17" s="235">
        <f t="shared" si="7"/>
        <v>276</v>
      </c>
      <c r="G17" s="90">
        <f t="shared" ca="1" si="5"/>
        <v>0</v>
      </c>
      <c r="H17" s="91">
        <f t="shared" ca="1" si="6"/>
        <v>0</v>
      </c>
      <c r="I17" s="199"/>
      <c r="J17" s="242" t="str">
        <f t="shared" ca="1" si="0"/>
        <v>-</v>
      </c>
    </row>
    <row r="18" spans="2:10" hidden="1">
      <c r="B18" s="206" t="str">
        <f t="shared" ca="1" si="1"/>
        <v>Program 10</v>
      </c>
      <c r="C18" s="106">
        <f t="shared" ca="1" si="2"/>
        <v>10</v>
      </c>
      <c r="D18" s="108" t="str">
        <f t="shared" ca="1" si="3"/>
        <v>N/A</v>
      </c>
      <c r="E18" s="108" t="str">
        <f t="shared" ca="1" si="4"/>
        <v>N/A</v>
      </c>
      <c r="F18" s="235">
        <f t="shared" si="7"/>
        <v>306</v>
      </c>
      <c r="G18" s="90">
        <f t="shared" ca="1" si="5"/>
        <v>0</v>
      </c>
      <c r="H18" s="91">
        <f t="shared" ca="1" si="6"/>
        <v>0</v>
      </c>
      <c r="I18" s="199"/>
      <c r="J18" s="242" t="str">
        <f t="shared" ca="1" si="0"/>
        <v>-</v>
      </c>
    </row>
    <row r="19" spans="2:10" hidden="1">
      <c r="B19" s="206" t="str">
        <f t="shared" ca="1" si="1"/>
        <v>Program 11</v>
      </c>
      <c r="C19" s="106">
        <f t="shared" ca="1" si="2"/>
        <v>11</v>
      </c>
      <c r="D19" s="108" t="str">
        <f t="shared" ca="1" si="3"/>
        <v>N/A</v>
      </c>
      <c r="E19" s="108" t="str">
        <f t="shared" ca="1" si="4"/>
        <v>N/A</v>
      </c>
      <c r="F19" s="235">
        <f t="shared" si="7"/>
        <v>336</v>
      </c>
      <c r="G19" s="90">
        <f t="shared" ca="1" si="5"/>
        <v>0</v>
      </c>
      <c r="H19" s="91">
        <f t="shared" ca="1" si="6"/>
        <v>0</v>
      </c>
      <c r="I19" s="199"/>
      <c r="J19" s="242" t="str">
        <f t="shared" ca="1" si="0"/>
        <v>-</v>
      </c>
    </row>
    <row r="20" spans="2:10" hidden="1">
      <c r="B20" s="206" t="str">
        <f t="shared" ca="1" si="1"/>
        <v>Program 12</v>
      </c>
      <c r="C20" s="106">
        <f t="shared" ca="1" si="2"/>
        <v>12</v>
      </c>
      <c r="D20" s="108" t="str">
        <f t="shared" ca="1" si="3"/>
        <v>N/A</v>
      </c>
      <c r="E20" s="108" t="str">
        <f t="shared" ca="1" si="4"/>
        <v>N/A</v>
      </c>
      <c r="F20" s="235">
        <f t="shared" si="7"/>
        <v>366</v>
      </c>
      <c r="G20" s="90">
        <f t="shared" ca="1" si="5"/>
        <v>0</v>
      </c>
      <c r="H20" s="91">
        <f t="shared" ca="1" si="6"/>
        <v>0</v>
      </c>
      <c r="I20" s="199"/>
      <c r="J20" s="242" t="str">
        <f t="shared" ca="1" si="0"/>
        <v>-</v>
      </c>
    </row>
    <row r="21" spans="2:10" hidden="1">
      <c r="B21" s="206" t="str">
        <f t="shared" ca="1" si="1"/>
        <v>Program 13</v>
      </c>
      <c r="C21" s="106">
        <f t="shared" ca="1" si="2"/>
        <v>13</v>
      </c>
      <c r="D21" s="108" t="str">
        <f t="shared" ca="1" si="3"/>
        <v>N/A</v>
      </c>
      <c r="E21" s="108" t="str">
        <f t="shared" ca="1" si="4"/>
        <v>N/A</v>
      </c>
      <c r="F21" s="235">
        <f t="shared" si="7"/>
        <v>396</v>
      </c>
      <c r="G21" s="90">
        <f t="shared" ca="1" si="5"/>
        <v>0</v>
      </c>
      <c r="H21" s="91">
        <f t="shared" ca="1" si="6"/>
        <v>0</v>
      </c>
      <c r="I21" s="199"/>
      <c r="J21" s="242" t="str">
        <f t="shared" ca="1" si="0"/>
        <v>-</v>
      </c>
    </row>
    <row r="22" spans="2:10" hidden="1">
      <c r="B22" s="206" t="str">
        <f t="shared" ca="1" si="1"/>
        <v>Program 14</v>
      </c>
      <c r="C22" s="106">
        <f t="shared" ca="1" si="2"/>
        <v>14</v>
      </c>
      <c r="D22" s="108" t="str">
        <f t="shared" ca="1" si="3"/>
        <v>N/A</v>
      </c>
      <c r="E22" s="108" t="str">
        <f t="shared" ca="1" si="4"/>
        <v>N/A</v>
      </c>
      <c r="F22" s="235">
        <f t="shared" si="7"/>
        <v>426</v>
      </c>
      <c r="G22" s="90">
        <f t="shared" ca="1" si="5"/>
        <v>0</v>
      </c>
      <c r="H22" s="91">
        <f t="shared" ca="1" si="6"/>
        <v>0</v>
      </c>
      <c r="I22" s="199"/>
      <c r="J22" s="242" t="str">
        <f t="shared" ca="1" si="0"/>
        <v>-</v>
      </c>
    </row>
    <row r="23" spans="2:10" hidden="1">
      <c r="B23" s="206" t="str">
        <f ca="1">INDIRECT("'"&amp;"A1"&amp;"'"&amp;"!"&amp;"C"&amp;F23)</f>
        <v>Program 15</v>
      </c>
      <c r="C23" s="106">
        <f ca="1">INDIRECT("'"&amp;"A1"&amp;"'"&amp;"!"&amp;"C"&amp;F23+3)</f>
        <v>15</v>
      </c>
      <c r="D23" s="108" t="str">
        <f ca="1">INDIRECT("'"&amp;"A1"&amp;"'"&amp;"!"&amp;"C"&amp;F23+1)</f>
        <v>N/A</v>
      </c>
      <c r="E23" s="108" t="str">
        <f ca="1">INDIRECT("'"&amp;"A1"&amp;"'"&amp;"!"&amp;"C"&amp;F23+2)</f>
        <v>N/A</v>
      </c>
      <c r="F23" s="235">
        <f t="shared" si="7"/>
        <v>456</v>
      </c>
      <c r="G23" s="90">
        <f t="shared" ca="1" si="5"/>
        <v>0</v>
      </c>
      <c r="H23" s="91">
        <f t="shared" ca="1" si="6"/>
        <v>0</v>
      </c>
      <c r="I23" s="199"/>
      <c r="J23" s="242" t="str">
        <f t="shared" ca="1" si="0"/>
        <v>-</v>
      </c>
    </row>
    <row r="24" spans="2:10" ht="13.5" thickBot="1">
      <c r="B24" s="212" t="str">
        <f>'A1'!A19</f>
        <v xml:space="preserve">Regulatory </v>
      </c>
      <c r="C24" s="395" t="s">
        <v>189</v>
      </c>
      <c r="D24" s="396" t="s">
        <v>189</v>
      </c>
      <c r="E24" s="396" t="s">
        <v>189</v>
      </c>
      <c r="F24" s="235">
        <f t="shared" si="7"/>
        <v>486</v>
      </c>
      <c r="G24" s="383">
        <f>'A1'!C19</f>
        <v>0</v>
      </c>
      <c r="H24" s="384">
        <f>'A1'!I19</f>
        <v>0</v>
      </c>
      <c r="I24" s="199"/>
      <c r="J24" s="509" t="str">
        <f t="shared" si="0"/>
        <v>-</v>
      </c>
    </row>
    <row r="25" spans="2:10" ht="13.5" thickBot="1">
      <c r="B25" s="288"/>
      <c r="C25" s="243"/>
      <c r="D25" s="243"/>
      <c r="E25" s="244" t="s">
        <v>30</v>
      </c>
      <c r="F25" s="211"/>
      <c r="G25" s="510">
        <f ca="1">SUM(G9:G24)</f>
        <v>1364485</v>
      </c>
      <c r="H25" s="511">
        <f ca="1">SUM(H9:H24)</f>
        <v>1278500.08</v>
      </c>
      <c r="I25" s="210"/>
      <c r="J25" s="512">
        <f ca="1">IF(ISERROR(H25/G25),"-",(H25/G25))</f>
        <v>0.93698360920054091</v>
      </c>
    </row>
  </sheetData>
  <mergeCells count="4">
    <mergeCell ref="B4:J4"/>
    <mergeCell ref="G6:H6"/>
    <mergeCell ref="B2:J2"/>
    <mergeCell ref="B3:J3"/>
  </mergeCells>
  <phoneticPr fontId="19" type="noConversion"/>
  <pageMargins left="0.75" right="0.75" top="0.75" bottom="1" header="0.5" footer="0.5"/>
  <pageSetup orientation="landscape" r:id="rId1"/>
  <headerFooter alignWithMargins="0">
    <oddFooter>&amp;L&amp;A&amp;C&amp;P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B1:G13"/>
  <sheetViews>
    <sheetView workbookViewId="0">
      <selection activeCell="B2" sqref="B2:G13"/>
    </sheetView>
  </sheetViews>
  <sheetFormatPr defaultRowHeight="12.75"/>
  <cols>
    <col min="1" max="1" width="1.7109375" style="13" customWidth="1"/>
    <col min="2" max="2" width="44.140625" style="13" customWidth="1"/>
    <col min="3" max="3" width="1.7109375" style="13" customWidth="1"/>
    <col min="4" max="4" width="8.85546875" style="13" bestFit="1" customWidth="1"/>
    <col min="5" max="6" width="11.7109375" style="13" customWidth="1"/>
    <col min="7" max="7" width="9.42578125" style="13" customWidth="1"/>
    <col min="8" max="16384" width="9.140625" style="13"/>
  </cols>
  <sheetData>
    <row r="1" spans="2:7" ht="5.0999999999999996" customHeight="1" thickBot="1"/>
    <row r="2" spans="2:7" ht="23.25">
      <c r="B2" s="891" t="s">
        <v>236</v>
      </c>
      <c r="C2" s="892"/>
      <c r="D2" s="892"/>
      <c r="E2" s="892"/>
      <c r="F2" s="892"/>
      <c r="G2" s="893"/>
    </row>
    <row r="3" spans="2:7" ht="13.5" thickBot="1">
      <c r="B3" s="200"/>
      <c r="C3" s="22"/>
      <c r="D3" s="22"/>
      <c r="E3" s="22"/>
      <c r="F3" s="22"/>
      <c r="G3" s="201"/>
    </row>
    <row r="4" spans="2:7" ht="13.5" thickBot="1">
      <c r="B4" s="202" t="s">
        <v>180</v>
      </c>
      <c r="C4" s="23"/>
      <c r="D4" s="738" t="str">
        <f>'A1'!C3 &amp;" Total Cost"</f>
        <v>2010 Total Cost</v>
      </c>
      <c r="E4" s="739"/>
      <c r="F4" s="739"/>
      <c r="G4" s="894"/>
    </row>
    <row r="5" spans="2:7">
      <c r="B5" s="275"/>
      <c r="C5" s="23"/>
      <c r="D5" s="264"/>
      <c r="E5" s="59" t="s">
        <v>12</v>
      </c>
      <c r="F5" s="107" t="s">
        <v>24</v>
      </c>
      <c r="G5" s="276"/>
    </row>
    <row r="6" spans="2:7" ht="13.5" thickBot="1">
      <c r="B6" s="205" t="s">
        <v>5</v>
      </c>
      <c r="C6" s="23"/>
      <c r="D6" s="128" t="s">
        <v>8</v>
      </c>
      <c r="E6" s="280" t="s">
        <v>195</v>
      </c>
      <c r="F6" s="281" t="s">
        <v>195</v>
      </c>
      <c r="G6" s="277" t="s">
        <v>8</v>
      </c>
    </row>
    <row r="7" spans="2:7">
      <c r="B7" s="206" t="str">
        <f>'A1'!A15</f>
        <v>Planning / Design</v>
      </c>
      <c r="C7" s="235"/>
      <c r="D7" s="61">
        <f t="shared" ref="D7:D13" si="0">IF(ISERROR(E7/$E$13),"-",(E7/$E$13))</f>
        <v>0</v>
      </c>
      <c r="E7" s="263">
        <f>'A1'!C15</f>
        <v>0</v>
      </c>
      <c r="F7" s="263">
        <f>'A1'!I15</f>
        <v>0</v>
      </c>
      <c r="G7" s="278">
        <f>IF(ISERROR(F7/$F$13),"-",(F7/$F$13))</f>
        <v>0</v>
      </c>
    </row>
    <row r="8" spans="2:7">
      <c r="B8" s="206" t="str">
        <f>'A1'!A16</f>
        <v>Marketing &amp; Delivery</v>
      </c>
      <c r="C8" s="235"/>
      <c r="D8" s="57">
        <f t="shared" si="0"/>
        <v>6.4159737923099189E-2</v>
      </c>
      <c r="E8" s="262">
        <f>'A1'!C16</f>
        <v>87545</v>
      </c>
      <c r="F8" s="262">
        <f>'A1'!I16</f>
        <v>107937.94999999998</v>
      </c>
      <c r="G8" s="279">
        <f t="shared" ref="G8:G13" si="1">IF(ISERROR(F8/$F$13),"-",(F8/$F$13))</f>
        <v>8.4425454240096717E-2</v>
      </c>
    </row>
    <row r="9" spans="2:7">
      <c r="B9" s="206" t="str">
        <f>'A1'!A17</f>
        <v>Incentives / Rebates</v>
      </c>
      <c r="C9" s="235"/>
      <c r="D9" s="57">
        <f t="shared" si="0"/>
        <v>0.80172372726706409</v>
      </c>
      <c r="E9" s="262">
        <f>'A1'!C17</f>
        <v>1093940</v>
      </c>
      <c r="F9" s="262">
        <f>'A1'!I17</f>
        <v>1067902.01</v>
      </c>
      <c r="G9" s="279">
        <f t="shared" si="1"/>
        <v>0.83527723361581652</v>
      </c>
    </row>
    <row r="10" spans="2:7">
      <c r="B10" s="206" t="str">
        <f>'A1'!A18</f>
        <v>Evaluation, Measurement, and Verification</v>
      </c>
      <c r="C10" s="235"/>
      <c r="D10" s="57">
        <f t="shared" si="0"/>
        <v>0</v>
      </c>
      <c r="E10" s="262">
        <f>'A1'!C18</f>
        <v>0</v>
      </c>
      <c r="F10" s="262">
        <f>'A1'!I18</f>
        <v>0</v>
      </c>
      <c r="G10" s="279">
        <f t="shared" si="1"/>
        <v>0</v>
      </c>
    </row>
    <row r="11" spans="2:7">
      <c r="B11" s="206" t="str">
        <f>'A1'!A19</f>
        <v xml:space="preserve">Regulatory </v>
      </c>
      <c r="C11" s="235"/>
      <c r="D11" s="57">
        <f t="shared" si="0"/>
        <v>0</v>
      </c>
      <c r="E11" s="262">
        <f>'A1'!C19</f>
        <v>0</v>
      </c>
      <c r="F11" s="262">
        <f>'A1'!I19</f>
        <v>0</v>
      </c>
      <c r="G11" s="279">
        <f t="shared" si="1"/>
        <v>0</v>
      </c>
    </row>
    <row r="12" spans="2:7" ht="13.5" thickBot="1">
      <c r="B12" s="207" t="str">
        <f>'A1'!A20</f>
        <v>Administration</v>
      </c>
      <c r="C12" s="235"/>
      <c r="D12" s="513">
        <f t="shared" si="0"/>
        <v>0.13411653480983668</v>
      </c>
      <c r="E12" s="514">
        <f>'A1'!C20</f>
        <v>183000</v>
      </c>
      <c r="F12" s="514">
        <f>'A1'!I20</f>
        <v>102660.11999999998</v>
      </c>
      <c r="G12" s="515">
        <f t="shared" si="1"/>
        <v>8.0297312144086835E-2</v>
      </c>
    </row>
    <row r="13" spans="2:7" ht="13.5" thickBot="1">
      <c r="B13" s="208" t="s">
        <v>30</v>
      </c>
      <c r="C13" s="211"/>
      <c r="D13" s="516">
        <f t="shared" si="0"/>
        <v>1</v>
      </c>
      <c r="E13" s="517">
        <f>SUM(E7:E12)</f>
        <v>1364485</v>
      </c>
      <c r="F13" s="517">
        <f>SUM(F7:F12)</f>
        <v>1278500.0799999998</v>
      </c>
      <c r="G13" s="518">
        <f t="shared" si="1"/>
        <v>1</v>
      </c>
    </row>
  </sheetData>
  <mergeCells count="2">
    <mergeCell ref="B2:G2"/>
    <mergeCell ref="D4:G4"/>
  </mergeCells>
  <phoneticPr fontId="19" type="noConversion"/>
  <pageMargins left="0.75" right="0.75" top="0.75" bottom="1" header="0.5" footer="0.5"/>
  <pageSetup orientation="portrait" r:id="rId1"/>
  <headerFooter alignWithMargins="0">
    <oddFooter>&amp;L&amp;A&amp;C&amp;P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TOC</vt:lpstr>
      <vt:lpstr>Wks Flowchart</vt:lpstr>
      <vt:lpstr>A1</vt:lpstr>
      <vt:lpstr>A2</vt:lpstr>
      <vt:lpstr>B1</vt:lpstr>
      <vt:lpstr>B2</vt:lpstr>
      <vt:lpstr>B3</vt:lpstr>
      <vt:lpstr>C1</vt:lpstr>
      <vt:lpstr>C2</vt:lpstr>
      <vt:lpstr>C3</vt:lpstr>
      <vt:lpstr>C4</vt:lpstr>
      <vt:lpstr>D1</vt:lpstr>
      <vt:lpstr>D2</vt:lpstr>
      <vt:lpstr>D3</vt:lpstr>
      <vt:lpstr>D4</vt:lpstr>
      <vt:lpstr>E1</vt:lpstr>
      <vt:lpstr>Pull-down list</vt:lpstr>
      <vt:lpstr>Electric</vt:lpstr>
      <vt:lpstr>Mrkt_Type</vt:lpstr>
      <vt:lpstr>Prg_Type</vt:lpstr>
      <vt:lpstr>'C4'!Print_Area</vt:lpstr>
      <vt:lpstr>'D3'!Print_Area</vt:lpstr>
      <vt:lpstr>'C4'!Print_Titles</vt:lpstr>
      <vt:lpstr>Utility_Type</vt:lpstr>
    </vt:vector>
  </TitlesOfParts>
  <Company>Arkansas Public Service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MKLUCHER</dc:creator>
  <cp:lastModifiedBy>General Staff (MK)</cp:lastModifiedBy>
  <cp:lastPrinted>2011-03-29T16:06:44Z</cp:lastPrinted>
  <dcterms:created xsi:type="dcterms:W3CDTF">2010-09-07T19:03:37Z</dcterms:created>
  <dcterms:modified xsi:type="dcterms:W3CDTF">2014-01-28T20:17:02Z</dcterms:modified>
</cp:coreProperties>
</file>